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9.xml.rels" ContentType="application/vnd.openxmlformats-package.relationships+xml"/>
  <Override PartName="/xl/worksheets/_rels/sheet6.xml.rels" ContentType="application/vnd.openxmlformats-package.relationships+xml"/>
  <Override PartName="/xl/worksheets/_rels/sheet8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4.xml.rels" ContentType="application/vnd.openxmlformats-package.relationships+xml"/>
  <Override PartName="/xl/worksheets/_rels/sheet11.xml.rels" ContentType="application/vnd.openxmlformats-package.relationships+xml"/>
  <Override PartName="/xl/worksheets/_rels/sheet3.xml.rels" ContentType="application/vnd.openxmlformats-package.relationships+xml"/>
  <Override PartName="/xl/worksheets/_rels/sheet10.xml.rels" ContentType="application/vnd.openxmlformats-package.relationships+xml"/>
  <Override PartName="/xl/worksheets/_rels/sheet2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10.png" ContentType="image/png"/>
  <Override PartName="/xl/media/image6.png" ContentType="image/png"/>
  <Override PartName="/xl/media/image7.png" ContentType="image/png"/>
  <Override PartName="/xl/media/image8.png" ContentType="image/png"/>
  <Override PartName="/xl/media/image9.png" ContentType="image/png"/>
  <Override PartName="/xl/drawings/_rels/drawing9.xml.rels" ContentType="application/vnd.openxmlformats-package.relationships+xml"/>
  <Override PartName="/xl/drawings/_rels/drawing3.xml.rels" ContentType="application/vnd.openxmlformats-package.relationships+xml"/>
  <Override PartName="/xl/drawings/_rels/drawing8.xml.rels" ContentType="application/vnd.openxmlformats-package.relationships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vmlDrawing1.vml" ContentType="application/vnd.openxmlformats-officedocument.vmlDrawing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valores Operacionais" sheetId="1" state="visible" r:id="rId2"/>
    <sheet name="Valor Serviço" sheetId="2" state="visible" r:id="rId3"/>
    <sheet name="visita técnica com deslocamento" sheetId="3" state="visible" r:id="rId4"/>
    <sheet name="SARANDI" sheetId="4" state="visible" r:id="rId5"/>
    <sheet name="SAMBURÁ" sheetId="5" state="visible" r:id="rId6"/>
    <sheet name="São Miguel" sheetId="6" state="visible" r:id="rId7"/>
    <sheet name="Ivaí" sheetId="7" state="visible" r:id="rId8"/>
    <sheet name="Rincão do Meio" sheetId="8" state="visible" r:id="rId9"/>
    <sheet name="Nhu porã" sheetId="9" state="visible" r:id="rId10"/>
    <sheet name="Vila Brites" sheetId="10" state="visible" r:id="rId11"/>
    <sheet name="Resumo" sheetId="11" state="visible" r:id="rId12"/>
  </sheets>
  <definedNames>
    <definedName function="false" hidden="false" localSheetId="1" name="_xlnm.Print_Area" vbProcedure="false">'Valor Serviço'!$A$1:$G$28</definedName>
    <definedName function="false" hidden="false" localSheetId="0" name="_xlnm.Print_Area" vbProcedure="false">'valores Operacionais'!$A$2:$F$11</definedName>
    <definedName function="false" hidden="false" localSheetId="2" name="_xlnm.Print_Area" vbProcedure="false">'visita técnica com deslocamento'!$A$1:$E$64</definedName>
    <definedName function="false" hidden="false" localSheetId="0" name="_xlnm.Print_Area" vbProcedure="false">'valores Operacionais'!$A$1:$F$23</definedName>
    <definedName function="false" hidden="false" localSheetId="0" name="_xlnm.Print_Area_0_0" vbProcedure="false">'valores Operacionais'!$A$1:$F$11</definedName>
    <definedName function="false" hidden="false" localSheetId="2" name="_xlnm.Print_Area" vbProcedure="false">'visita técnica com deslocamento'!$A$1:$E$62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7" authorId="0">
      <text>
        <r>
          <rPr>
            <sz val="11"/>
            <color rgb="FF000000"/>
            <rFont val="Calibri"/>
            <family val="2"/>
            <charset val="1"/>
          </rPr>
          <t xml:space="preserve">Considerado para estimativa o preço médio do interior</t>
        </r>
      </text>
    </comment>
  </commentList>
</comments>
</file>

<file path=xl/sharedStrings.xml><?xml version="1.0" encoding="utf-8"?>
<sst xmlns="http://schemas.openxmlformats.org/spreadsheetml/2006/main" count="1000" uniqueCount="178">
  <si>
    <t xml:space="preserve">Custos diversos</t>
  </si>
  <si>
    <t xml:space="preserve">2- Uniformes</t>
  </si>
  <si>
    <t xml:space="preserve">Descrição</t>
  </si>
  <si>
    <t xml:space="preserve">Unidade</t>
  </si>
  <si>
    <t xml:space="preserve">Quantidade</t>
  </si>
  <si>
    <t xml:space="preserve">Valor unitário</t>
  </si>
  <si>
    <t xml:space="preserve">Sub total</t>
  </si>
  <si>
    <t xml:space="preserve">Total</t>
  </si>
  <si>
    <t xml:space="preserve">Calça</t>
  </si>
  <si>
    <t xml:space="preserve">luvas </t>
  </si>
  <si>
    <t xml:space="preserve">Calçado (botina)</t>
  </si>
  <si>
    <t xml:space="preserve">Par</t>
  </si>
  <si>
    <t xml:space="preserve">máscara respiratória</t>
  </si>
  <si>
    <t xml:space="preserve">óculos incolor</t>
  </si>
  <si>
    <t xml:space="preserve">Total </t>
  </si>
  <si>
    <t xml:space="preserve">vl mês</t>
  </si>
  <si>
    <t xml:space="preserve">Operadores</t>
  </si>
  <si>
    <t xml:space="preserve">Homem</t>
  </si>
  <si>
    <t xml:space="preserve">PREFEITURA MUN ICIPAL DE SÃO BORJA</t>
  </si>
  <si>
    <t xml:space="preserve">SECRETARIA MUNICIPAL DE SAÚDE</t>
  </si>
  <si>
    <t xml:space="preserve">PLANILHA DE CUSTO MÉDIO DO VALOR DO SERVIÇO PARA MANUTENÇÃO DE EQUIPAMENTO ME´DICO HOSPITALAR </t>
  </si>
  <si>
    <t xml:space="preserve">Item</t>
  </si>
  <si>
    <t xml:space="preserve">Recursos Humanos </t>
  </si>
  <si>
    <t xml:space="preserve">1.1</t>
  </si>
  <si>
    <t xml:space="preserve">Pessoal de Operação e Manutenção</t>
  </si>
  <si>
    <t xml:space="preserve">Valor (R$)</t>
  </si>
  <si>
    <t xml:space="preserve">Qtd./dias mês</t>
  </si>
  <si>
    <t xml:space="preserve">Total (R$)</t>
  </si>
  <si>
    <t xml:space="preserve">1.1.1</t>
  </si>
  <si>
    <t xml:space="preserve">Salário (CBO ) 9153 -05</t>
  </si>
  <si>
    <t xml:space="preserve">1.1.2</t>
  </si>
  <si>
    <t xml:space="preserve">Encargos sociais</t>
  </si>
  <si>
    <t xml:space="preserve">1.1.3</t>
  </si>
  <si>
    <t xml:space="preserve">ENG. RESPONSÁVEL (20h semanais)</t>
  </si>
  <si>
    <t xml:space="preserve">SUB TOTAL</t>
  </si>
  <si>
    <t xml:space="preserve"> valor do dia</t>
  </si>
  <si>
    <t xml:space="preserve">Despesa Tributária e Lucro</t>
  </si>
  <si>
    <t xml:space="preserve"> </t>
  </si>
  <si>
    <t xml:space="preserve">Percentual</t>
  </si>
  <si>
    <t xml:space="preserve">2.1</t>
  </si>
  <si>
    <t xml:space="preserve">Alíquota Simples</t>
  </si>
  <si>
    <t xml:space="preserve">2.2</t>
  </si>
  <si>
    <t xml:space="preserve">Lucro</t>
  </si>
  <si>
    <t xml:space="preserve">TOTAL</t>
  </si>
  <si>
    <t xml:space="preserve">CUSTO SERVIÇO (DIA)</t>
  </si>
  <si>
    <t xml:space="preserve">Sob 03 orçamentos </t>
  </si>
  <si>
    <t xml:space="preserve">TRANSPORTE PACIENTES – SUS</t>
  </si>
  <si>
    <t xml:space="preserve">PLANILHA DE CUSTO ESTIMADO PARA VISITA TÉCNICA COM DESLOCAMENTO PARA MANUTENÇÃO DE EQUIPAMENTO MÉDICO HOSPITALAR </t>
  </si>
  <si>
    <t xml:space="preserve">Localidade: ZONA URBANA Km</t>
  </si>
  <si>
    <t xml:space="preserve">DADOS</t>
  </si>
  <si>
    <t xml:space="preserve">KM ESTIMADA</t>
  </si>
  <si>
    <t xml:space="preserve">Dias  mês</t>
  </si>
  <si>
    <t xml:space="preserve">Dias Uteis/Ano</t>
  </si>
  <si>
    <t xml:space="preserve">Qtd.</t>
  </si>
  <si>
    <t xml:space="preserve">1.</t>
  </si>
  <si>
    <t xml:space="preserve">Veículos e Equipamentos</t>
  </si>
  <si>
    <t xml:space="preserve">1.2</t>
  </si>
  <si>
    <t xml:space="preserve">Depreciação</t>
  </si>
  <si>
    <t xml:space="preserve">1.2.1</t>
  </si>
  <si>
    <t xml:space="preserve">Valor do veículo (Ano 2021)</t>
  </si>
  <si>
    <t xml:space="preserve">Valor Depreciável</t>
  </si>
  <si>
    <t xml:space="preserve">Depreciação anual</t>
  </si>
  <si>
    <t xml:space="preserve">Depreciação diária</t>
  </si>
  <si>
    <t xml:space="preserve">1.3</t>
  </si>
  <si>
    <t xml:space="preserve">Licenciamento e Seguro</t>
  </si>
  <si>
    <t xml:space="preserve">Vl Anual (R$)</t>
  </si>
  <si>
    <t xml:space="preserve">Dias </t>
  </si>
  <si>
    <t xml:space="preserve">Total (R$) </t>
  </si>
  <si>
    <t xml:space="preserve">1.3.1</t>
  </si>
  <si>
    <t xml:space="preserve">Licenciamento</t>
  </si>
  <si>
    <t xml:space="preserve">1.3.2</t>
  </si>
  <si>
    <t xml:space="preserve">IPVA</t>
  </si>
  <si>
    <t xml:space="preserve">1.3.3</t>
  </si>
  <si>
    <t xml:space="preserve">Seguro</t>
  </si>
  <si>
    <t xml:space="preserve">Sub-Total</t>
  </si>
  <si>
    <t xml:space="preserve">2.</t>
  </si>
  <si>
    <t xml:space="preserve">Combustíveis</t>
  </si>
  <si>
    <t xml:space="preserve">Km/dia percorridos na Linha </t>
  </si>
  <si>
    <t xml:space="preserve">2.1.1</t>
  </si>
  <si>
    <t xml:space="preserve">Rendimento (km/litro) </t>
  </si>
  <si>
    <t xml:space="preserve">Valor do litro (R$) </t>
  </si>
  <si>
    <t xml:space="preserve">Valor Total do Contrato (R$) </t>
  </si>
  <si>
    <t xml:space="preserve">3.</t>
  </si>
  <si>
    <t xml:space="preserve">Lubrificante</t>
  </si>
  <si>
    <t xml:space="preserve">3.1</t>
  </si>
  <si>
    <t xml:space="preserve">Coeficiente de consumo </t>
  </si>
  <si>
    <t xml:space="preserve">3.1.1</t>
  </si>
  <si>
    <t xml:space="preserve">Valor gasto com gasolina</t>
  </si>
  <si>
    <t xml:space="preserve">Valor Diário (R$) </t>
  </si>
  <si>
    <t xml:space="preserve">4.</t>
  </si>
  <si>
    <t xml:space="preserve">Pneus</t>
  </si>
  <si>
    <t xml:space="preserve">4.1</t>
  </si>
  <si>
    <t xml:space="preserve">Valor do Pneu 185/60R 14 (R$) </t>
  </si>
  <si>
    <t xml:space="preserve">4.1.1</t>
  </si>
  <si>
    <t xml:space="preserve">Quantidade de pneus no veículo </t>
  </si>
  <si>
    <t xml:space="preserve">4.1.1.2</t>
  </si>
  <si>
    <t xml:space="preserve">Durabilidade (km) </t>
  </si>
  <si>
    <t xml:space="preserve">4.1.1.3</t>
  </si>
  <si>
    <t xml:space="preserve">KM</t>
  </si>
  <si>
    <t xml:space="preserve">4.1.1.4</t>
  </si>
  <si>
    <t xml:space="preserve">Tempo /Dia</t>
  </si>
  <si>
    <t xml:space="preserve">VALOR </t>
  </si>
  <si>
    <t xml:space="preserve">5.</t>
  </si>
  <si>
    <t xml:space="preserve">Manutenção</t>
  </si>
  <si>
    <t xml:space="preserve">5.1</t>
  </si>
  <si>
    <t xml:space="preserve">Coeficiente mensal </t>
  </si>
  <si>
    <t xml:space="preserve">5.1.2</t>
  </si>
  <si>
    <t xml:space="preserve">Valor combustível(R$) 1 unidade</t>
  </si>
  <si>
    <t xml:space="preserve">6.</t>
  </si>
  <si>
    <t xml:space="preserve">Despesas Administrativas</t>
  </si>
  <si>
    <t xml:space="preserve">6.1</t>
  </si>
  <si>
    <t xml:space="preserve">Pessoal de Operação e Manutenção </t>
  </si>
  <si>
    <t xml:space="preserve">6.1.2</t>
  </si>
  <si>
    <t xml:space="preserve">7.</t>
  </si>
  <si>
    <t xml:space="preserve">Outras Despesas OPERACIONAIS</t>
  </si>
  <si>
    <t xml:space="preserve">7.1</t>
  </si>
  <si>
    <t xml:space="preserve">refeição</t>
  </si>
  <si>
    <t xml:space="preserve">7.2</t>
  </si>
  <si>
    <t xml:space="preserve">EPIs</t>
  </si>
  <si>
    <t xml:space="preserve">Valor </t>
  </si>
  <si>
    <t xml:space="preserve">8.</t>
  </si>
  <si>
    <t xml:space="preserve">Remuneração de Capital</t>
  </si>
  <si>
    <t xml:space="preserve">8.1</t>
  </si>
  <si>
    <t xml:space="preserve">Valor do veículo (R$) </t>
  </si>
  <si>
    <t xml:space="preserve">8.2</t>
  </si>
  <si>
    <t xml:space="preserve">Selic Anual </t>
  </si>
  <si>
    <t xml:space="preserve">8.3</t>
  </si>
  <si>
    <t xml:space="preserve">Coeficiente de Remuneração de Capital</t>
  </si>
  <si>
    <t xml:space="preserve">Total Anual </t>
  </si>
  <si>
    <t xml:space="preserve">Dias úteis no ano </t>
  </si>
  <si>
    <t xml:space="preserve">Total Diário </t>
  </si>
  <si>
    <t xml:space="preserve">SUBTOTAL </t>
  </si>
  <si>
    <t xml:space="preserve">9.</t>
  </si>
  <si>
    <t xml:space="preserve">9.1</t>
  </si>
  <si>
    <t xml:space="preserve">Alíquota </t>
  </si>
  <si>
    <t xml:space="preserve">9.2</t>
  </si>
  <si>
    <t xml:space="preserve">10.</t>
  </si>
  <si>
    <t xml:space="preserve">Valor deslocamento </t>
  </si>
  <si>
    <t xml:space="preserve">11.</t>
  </si>
  <si>
    <t xml:space="preserve">Valor serviço </t>
  </si>
  <si>
    <t xml:space="preserve">Valor  da visita técnica</t>
  </si>
  <si>
    <t xml:space="preserve">Localidade: Interior- Sarandi Km=</t>
  </si>
  <si>
    <t xml:space="preserve">Valor do veículo (Ano 2020)</t>
  </si>
  <si>
    <t xml:space="preserve">SUBTOTAL</t>
  </si>
  <si>
    <t xml:space="preserve"> Valor deslocamento </t>
  </si>
  <si>
    <t xml:space="preserve">Valor Serviço</t>
  </si>
  <si>
    <t xml:space="preserve">Localidade: Interior- Samburá Km=</t>
  </si>
  <si>
    <t xml:space="preserve">Localidade: Interior- São Miguel Km=</t>
  </si>
  <si>
    <t xml:space="preserve">Localidade: Interior- Ivaí Km=</t>
  </si>
  <si>
    <t xml:space="preserve">Localidade: Interior- Rincão do Meio Km=</t>
  </si>
  <si>
    <t xml:space="preserve"> Valor deslocamento</t>
  </si>
  <si>
    <t xml:space="preserve">Localidade: Interior- Nhu Porã Km=</t>
  </si>
  <si>
    <t xml:space="preserve">Localidade: Interior- Vila Brites Km=</t>
  </si>
  <si>
    <t xml:space="preserve">Km Estimada</t>
  </si>
  <si>
    <t xml:space="preserve">ORÇAMENTO TOTAL ESTIMADO</t>
  </si>
  <si>
    <t xml:space="preserve">ESTIMATIVA DE  MANUTENÇÃO CORRETIVA</t>
  </si>
  <si>
    <t xml:space="preserve">MANUTENÇÃO CORRETIVA</t>
  </si>
  <si>
    <t xml:space="preserve">CIDADE</t>
  </si>
  <si>
    <t xml:space="preserve">INTERIOR</t>
  </si>
  <si>
    <t xml:space="preserve">Nº VISITAS TÉCNICAS</t>
  </si>
  <si>
    <t xml:space="preserve">Mês </t>
  </si>
  <si>
    <t xml:space="preserve">Valor Estimado Mês</t>
  </si>
  <si>
    <t xml:space="preserve">Total Estimado Mês</t>
  </si>
  <si>
    <t xml:space="preserve">ESTIMATIVA DE CONSUMO  MANUTENÇÃO PREVENTIVA</t>
  </si>
  <si>
    <t xml:space="preserve">MANUTENÇÃO PREVENTIVA</t>
  </si>
  <si>
    <t xml:space="preserve">Estimativa de peças para man. corretiva</t>
  </si>
  <si>
    <t xml:space="preserve">TIPO</t>
  </si>
  <si>
    <t xml:space="preserve">valor</t>
  </si>
  <si>
    <t xml:space="preserve">% limite </t>
  </si>
  <si>
    <t xml:space="preserve">Peças de reposição</t>
  </si>
  <si>
    <t xml:space="preserve">ESTIMATIVA TOTAL</t>
  </si>
  <si>
    <t xml:space="preserve">MÊS</t>
  </si>
  <si>
    <t xml:space="preserve">ANO</t>
  </si>
  <si>
    <t xml:space="preserve">CORRETIVA/VARIÁVEL</t>
  </si>
  <si>
    <t xml:space="preserve">PREVENTIVA/FIXA</t>
  </si>
  <si>
    <t xml:space="preserve">PEÇAS/VARIÁVEL</t>
  </si>
  <si>
    <t xml:space="preserve">XX</t>
  </si>
  <si>
    <t xml:space="preserve">TOTAL ESTIMADO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</si>
</sst>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&quot;R$ &quot;* #,##0.00_-;&quot;-R$ &quot;* #,##0.00_-;_-&quot;R$ &quot;* \-??_-;_-@_-"/>
    <numFmt numFmtId="166" formatCode="#,##0.00"/>
    <numFmt numFmtId="167" formatCode="0.0000"/>
    <numFmt numFmtId="168" formatCode="#,##0.00\ ;#,##0.00\ ;\-#\ ;@\ "/>
    <numFmt numFmtId="169" formatCode="0.00%"/>
    <numFmt numFmtId="170" formatCode="#,##0.0000"/>
    <numFmt numFmtId="171" formatCode="[$R$-416]\ #,##0.00;[RED]\-[$R$-416]\ #,##0.00"/>
    <numFmt numFmtId="172" formatCode="dd/mm/yy"/>
    <numFmt numFmtId="173" formatCode="0"/>
    <numFmt numFmtId="174" formatCode="General"/>
    <numFmt numFmtId="175" formatCode="@"/>
    <numFmt numFmtId="176" formatCode="#,##0.0000\ ;#,##0.0000\ ;\-#\ ;@\ "/>
    <numFmt numFmtId="177" formatCode="0%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 val="true"/>
      <sz val="10"/>
      <color rgb="FF0000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8"/>
      <color rgb="FF00000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b val="true"/>
      <sz val="14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F7D1D5"/>
      </patternFill>
    </fill>
    <fill>
      <patternFill patternType="solid">
        <fgColor rgb="FFBF819E"/>
        <bgColor rgb="FF808080"/>
      </patternFill>
    </fill>
    <fill>
      <patternFill patternType="solid">
        <fgColor rgb="FFF7D1D5"/>
        <bgColor rgb="FFD9D9D9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5" fillId="3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5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4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3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4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5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3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3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5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3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4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8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1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2" fillId="3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2" fillId="3" borderId="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2" fillId="3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3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4" borderId="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2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3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2D05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457920</xdr:colOff>
      <xdr:row>0</xdr:row>
      <xdr:rowOff>0</xdr:rowOff>
    </xdr:from>
    <xdr:to>
      <xdr:col>1</xdr:col>
      <xdr:colOff>810000</xdr:colOff>
      <xdr:row>3</xdr:row>
      <xdr:rowOff>154440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1017360" y="0"/>
          <a:ext cx="352080" cy="72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457920</xdr:colOff>
      <xdr:row>0</xdr:row>
      <xdr:rowOff>0</xdr:rowOff>
    </xdr:from>
    <xdr:to>
      <xdr:col>1</xdr:col>
      <xdr:colOff>810000</xdr:colOff>
      <xdr:row>3</xdr:row>
      <xdr:rowOff>154440</xdr:rowOff>
    </xdr:to>
    <xdr:pic>
      <xdr:nvPicPr>
        <xdr:cNvPr id="1" name="Figura 3" descr=""/>
        <xdr:cNvPicPr/>
      </xdr:nvPicPr>
      <xdr:blipFill>
        <a:blip r:embed="rId2"/>
        <a:stretch/>
      </xdr:blipFill>
      <xdr:spPr>
        <a:xfrm>
          <a:off x="1017360" y="0"/>
          <a:ext cx="352080" cy="726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477720</xdr:colOff>
      <xdr:row>0</xdr:row>
      <xdr:rowOff>0</xdr:rowOff>
    </xdr:from>
    <xdr:to>
      <xdr:col>0</xdr:col>
      <xdr:colOff>788760</xdr:colOff>
      <xdr:row>3</xdr:row>
      <xdr:rowOff>163800</xdr:rowOff>
    </xdr:to>
    <xdr:pic>
      <xdr:nvPicPr>
        <xdr:cNvPr id="2" name="Figura 1" descr=""/>
        <xdr:cNvPicPr/>
      </xdr:nvPicPr>
      <xdr:blipFill>
        <a:blip r:embed="rId1"/>
        <a:stretch/>
      </xdr:blipFill>
      <xdr:spPr>
        <a:xfrm>
          <a:off x="477720" y="0"/>
          <a:ext cx="311040" cy="73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119160</xdr:rowOff>
    </xdr:to>
    <xdr:pic>
      <xdr:nvPicPr>
        <xdr:cNvPr id="3" name="Figura 1" descr=""/>
        <xdr:cNvPicPr/>
      </xdr:nvPicPr>
      <xdr:blipFill>
        <a:blip r:embed="rId1"/>
        <a:stretch/>
      </xdr:blipFill>
      <xdr:spPr>
        <a:xfrm>
          <a:off x="299520" y="0"/>
          <a:ext cx="311040" cy="690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113760</xdr:rowOff>
    </xdr:to>
    <xdr:pic>
      <xdr:nvPicPr>
        <xdr:cNvPr id="4" name="Figura 1" descr=""/>
        <xdr:cNvPicPr/>
      </xdr:nvPicPr>
      <xdr:blipFill>
        <a:blip r:embed="rId1"/>
        <a:stretch/>
      </xdr:blipFill>
      <xdr:spPr>
        <a:xfrm>
          <a:off x="299520" y="0"/>
          <a:ext cx="311040" cy="68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113760</xdr:rowOff>
    </xdr:to>
    <xdr:pic>
      <xdr:nvPicPr>
        <xdr:cNvPr id="5" name="Figura 1" descr=""/>
        <xdr:cNvPicPr/>
      </xdr:nvPicPr>
      <xdr:blipFill>
        <a:blip r:embed="rId1"/>
        <a:stretch/>
      </xdr:blipFill>
      <xdr:spPr>
        <a:xfrm>
          <a:off x="299520" y="0"/>
          <a:ext cx="311040" cy="68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113760</xdr:rowOff>
    </xdr:to>
    <xdr:pic>
      <xdr:nvPicPr>
        <xdr:cNvPr id="6" name="Figura 1" descr=""/>
        <xdr:cNvPicPr/>
      </xdr:nvPicPr>
      <xdr:blipFill>
        <a:blip r:embed="rId1"/>
        <a:stretch/>
      </xdr:blipFill>
      <xdr:spPr>
        <a:xfrm>
          <a:off x="299520" y="0"/>
          <a:ext cx="311040" cy="68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113760</xdr:rowOff>
    </xdr:to>
    <xdr:pic>
      <xdr:nvPicPr>
        <xdr:cNvPr id="7" name="Figura 1" descr=""/>
        <xdr:cNvPicPr/>
      </xdr:nvPicPr>
      <xdr:blipFill>
        <a:blip r:embed="rId1"/>
        <a:stretch/>
      </xdr:blipFill>
      <xdr:spPr>
        <a:xfrm>
          <a:off x="299520" y="0"/>
          <a:ext cx="311040" cy="68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610560</xdr:colOff>
      <xdr:row>3</xdr:row>
      <xdr:rowOff>113760</xdr:rowOff>
    </xdr:to>
    <xdr:pic>
      <xdr:nvPicPr>
        <xdr:cNvPr id="8" name="Figura 1" descr=""/>
        <xdr:cNvPicPr/>
      </xdr:nvPicPr>
      <xdr:blipFill>
        <a:blip r:embed="rId1"/>
        <a:stretch/>
      </xdr:blipFill>
      <xdr:spPr>
        <a:xfrm>
          <a:off x="299520" y="0"/>
          <a:ext cx="311040" cy="68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299520</xdr:colOff>
      <xdr:row>0</xdr:row>
      <xdr:rowOff>0</xdr:rowOff>
    </xdr:from>
    <xdr:to>
      <xdr:col>0</xdr:col>
      <xdr:colOff>492480</xdr:colOff>
      <xdr:row>2</xdr:row>
      <xdr:rowOff>75960</xdr:rowOff>
    </xdr:to>
    <xdr:pic>
      <xdr:nvPicPr>
        <xdr:cNvPr id="9" name="Figura 1" descr=""/>
        <xdr:cNvPicPr/>
      </xdr:nvPicPr>
      <xdr:blipFill>
        <a:blip r:embed="rId1"/>
        <a:stretch/>
      </xdr:blipFill>
      <xdr:spPr>
        <a:xfrm>
          <a:off x="299520" y="0"/>
          <a:ext cx="192960" cy="426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comments" Target="../comments1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5" activeCellId="0" sqref="D15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35.85"/>
    <col collapsed="false" customWidth="true" hidden="false" outlineLevel="0" max="2" min="2" style="1" width="9"/>
    <col collapsed="false" customWidth="true" hidden="false" outlineLevel="0" max="3" min="3" style="1" width="12.15"/>
    <col collapsed="false" customWidth="true" hidden="false" outlineLevel="0" max="4" min="4" style="1" width="13.29"/>
    <col collapsed="false" customWidth="true" hidden="false" outlineLevel="0" max="5" min="5" style="1" width="13.57"/>
    <col collapsed="false" customWidth="true" hidden="false" outlineLevel="0" max="6" min="6" style="1" width="12.15"/>
  </cols>
  <sheetData>
    <row r="1" customFormat="false" ht="16.5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  <c r="F2" s="3"/>
    </row>
    <row r="3" customFormat="false" ht="13.8" hidden="false" customHeight="false" outlineLevel="0" collapsed="false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customFormat="false" ht="13.8" hidden="false" customHeight="false" outlineLevel="0" collapsed="false">
      <c r="A4" s="5" t="s">
        <v>8</v>
      </c>
      <c r="B4" s="5" t="s">
        <v>3</v>
      </c>
      <c r="C4" s="5" t="n">
        <v>3</v>
      </c>
      <c r="D4" s="6" t="n">
        <f aca="false">(79.44+79.9+67.9)/3</f>
        <v>75.7466666666667</v>
      </c>
      <c r="E4" s="7" t="n">
        <f aca="false">D4*C4</f>
        <v>227.24</v>
      </c>
      <c r="F4" s="7"/>
    </row>
    <row r="5" customFormat="false" ht="13.8" hidden="false" customHeight="false" outlineLevel="0" collapsed="false">
      <c r="A5" s="5" t="s">
        <v>9</v>
      </c>
      <c r="B5" s="5" t="s">
        <v>3</v>
      </c>
      <c r="C5" s="5" t="n">
        <v>12</v>
      </c>
      <c r="D5" s="6" t="n">
        <f aca="false">(11.9+7+3.76)/3</f>
        <v>7.55333333333333</v>
      </c>
      <c r="E5" s="7" t="n">
        <f aca="false">D5*C5</f>
        <v>90.64</v>
      </c>
      <c r="F5" s="7"/>
    </row>
    <row r="6" customFormat="false" ht="13.8" hidden="false" customHeight="false" outlineLevel="0" collapsed="false">
      <c r="A6" s="5" t="s">
        <v>10</v>
      </c>
      <c r="B6" s="5" t="s">
        <v>11</v>
      </c>
      <c r="C6" s="5" t="n">
        <v>4</v>
      </c>
      <c r="D6" s="6" t="n">
        <f aca="false">(59.9+63.9+61.39)/3</f>
        <v>61.73</v>
      </c>
      <c r="E6" s="7" t="n">
        <f aca="false">D6*C6</f>
        <v>246.92</v>
      </c>
      <c r="F6" s="7"/>
    </row>
    <row r="7" customFormat="false" ht="13.8" hidden="false" customHeight="false" outlineLevel="0" collapsed="false">
      <c r="A7" s="5" t="s">
        <v>12</v>
      </c>
      <c r="B7" s="5" t="s">
        <v>3</v>
      </c>
      <c r="C7" s="5" t="n">
        <v>60</v>
      </c>
      <c r="D7" s="6" t="n">
        <f aca="false">(4.6+5.9+3.42)/3</f>
        <v>4.64</v>
      </c>
      <c r="E7" s="7" t="n">
        <f aca="false">D7*C7</f>
        <v>278.4</v>
      </c>
      <c r="F7" s="7"/>
      <c r="G7" s="1"/>
      <c r="H7" s="1"/>
    </row>
    <row r="8" customFormat="false" ht="13.8" hidden="false" customHeight="false" outlineLevel="0" collapsed="false">
      <c r="A8" s="5" t="s">
        <v>13</v>
      </c>
      <c r="B8" s="5" t="s">
        <v>3</v>
      </c>
      <c r="C8" s="5" t="n">
        <v>4</v>
      </c>
      <c r="D8" s="6" t="n">
        <f aca="false">(6.9+2.99+3.92)/3</f>
        <v>4.60333333333333</v>
      </c>
      <c r="E8" s="7" t="n">
        <f aca="false">D8*C8</f>
        <v>18.4133333333333</v>
      </c>
      <c r="F8" s="7"/>
    </row>
    <row r="9" customFormat="false" ht="13.8" hidden="false" customHeight="false" outlineLevel="0" collapsed="false">
      <c r="A9" s="5" t="s">
        <v>14</v>
      </c>
      <c r="B9" s="5"/>
      <c r="C9" s="5"/>
      <c r="D9" s="7"/>
      <c r="E9" s="7"/>
      <c r="F9" s="7" t="n">
        <f aca="false">SUM(E4:E8)</f>
        <v>861.613333333333</v>
      </c>
    </row>
    <row r="10" customFormat="false" ht="13.8" hidden="false" customHeight="false" outlineLevel="0" collapsed="false">
      <c r="A10" s="5" t="s">
        <v>15</v>
      </c>
      <c r="B10" s="5"/>
      <c r="C10" s="5"/>
      <c r="D10" s="7"/>
      <c r="E10" s="7"/>
      <c r="F10" s="7" t="n">
        <f aca="false">F9/12</f>
        <v>71.8011111111111</v>
      </c>
    </row>
    <row r="11" customFormat="false" ht="13.8" hidden="false" customHeight="false" outlineLevel="0" collapsed="false">
      <c r="A11" s="5" t="s">
        <v>16</v>
      </c>
      <c r="B11" s="5" t="s">
        <v>17</v>
      </c>
      <c r="C11" s="8" t="n">
        <v>1</v>
      </c>
      <c r="D11" s="7"/>
      <c r="E11" s="7"/>
      <c r="F11" s="7"/>
    </row>
    <row r="13" customFormat="false" ht="13.8" hidden="false" customHeight="false" outlineLevel="0" collapsed="false"/>
    <row r="14" customFormat="false" ht="13.8" hidden="false" customHeight="false" outlineLevel="0" collapsed="false">
      <c r="F14" s="9"/>
    </row>
    <row r="15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F1"/>
    <mergeCell ref="A2:F2"/>
  </mergeCells>
  <printOptions headings="false" gridLines="false" gridLinesSet="true" horizontalCentered="false" verticalCentered="false"/>
  <pageMargins left="0.511805555555556" right="0.511805555555556" top="0.984027777777778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2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I15" activeCellId="0" sqref="I15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35.6"/>
  </cols>
  <sheetData>
    <row r="1" customFormat="false" ht="13.8" hidden="false" customHeight="false" outlineLevel="0" collapsed="false">
      <c r="A1" s="11"/>
      <c r="B1" s="108" t="s">
        <v>18</v>
      </c>
      <c r="C1" s="108"/>
      <c r="D1" s="108"/>
      <c r="E1" s="108"/>
    </row>
    <row r="2" customFormat="false" ht="13.8" hidden="false" customHeight="false" outlineLevel="0" collapsed="false">
      <c r="A2" s="11"/>
      <c r="B2" s="108" t="s">
        <v>19</v>
      </c>
      <c r="C2" s="108"/>
      <c r="D2" s="108"/>
      <c r="E2" s="108"/>
    </row>
    <row r="3" customFormat="false" ht="13.8" hidden="false" customHeight="false" outlineLevel="0" collapsed="false">
      <c r="A3" s="11"/>
      <c r="B3" s="108"/>
      <c r="C3" s="108"/>
      <c r="D3" s="108"/>
      <c r="E3" s="108"/>
    </row>
    <row r="4" customFormat="false" ht="26.1" hidden="false" customHeight="true" outlineLevel="0" collapsed="false">
      <c r="A4" s="63" t="s">
        <v>47</v>
      </c>
      <c r="B4" s="63"/>
      <c r="C4" s="63"/>
      <c r="D4" s="63"/>
      <c r="E4" s="63"/>
    </row>
    <row r="5" customFormat="false" ht="13.8" hidden="false" customHeight="false" outlineLevel="0" collapsed="false">
      <c r="A5" s="109" t="s">
        <v>152</v>
      </c>
      <c r="B5" s="109"/>
      <c r="C5" s="109"/>
      <c r="D5" s="109"/>
      <c r="E5" s="110" t="n">
        <v>80</v>
      </c>
    </row>
    <row r="6" customFormat="false" ht="13.8" hidden="false" customHeight="false" outlineLevel="0" collapsed="false">
      <c r="A6" s="109" t="s">
        <v>49</v>
      </c>
      <c r="B6" s="109"/>
      <c r="C6" s="111" t="s">
        <v>153</v>
      </c>
      <c r="D6" s="112" t="s">
        <v>51</v>
      </c>
      <c r="E6" s="113" t="s">
        <v>52</v>
      </c>
    </row>
    <row r="7" customFormat="false" ht="13.8" hidden="false" customHeight="false" outlineLevel="0" collapsed="false">
      <c r="A7" s="109"/>
      <c r="B7" s="109"/>
      <c r="C7" s="114" t="n">
        <v>216</v>
      </c>
      <c r="D7" s="114" t="n">
        <v>21</v>
      </c>
      <c r="E7" s="114" t="n">
        <v>252</v>
      </c>
    </row>
    <row r="8" customFormat="false" ht="13.8" hidden="false" customHeight="false" outlineLevel="0" collapsed="false">
      <c r="A8" s="115"/>
      <c r="B8" s="116"/>
      <c r="C8" s="117" t="s">
        <v>25</v>
      </c>
      <c r="D8" s="117" t="s">
        <v>53</v>
      </c>
      <c r="E8" s="118" t="s">
        <v>27</v>
      </c>
    </row>
    <row r="9" customFormat="false" ht="13.8" hidden="false" customHeight="false" outlineLevel="0" collapsed="false">
      <c r="A9" s="119" t="s">
        <v>54</v>
      </c>
      <c r="B9" s="115" t="s">
        <v>55</v>
      </c>
      <c r="C9" s="120"/>
      <c r="D9" s="119"/>
      <c r="E9" s="121"/>
    </row>
    <row r="10" customFormat="false" ht="13.8" hidden="false" customHeight="false" outlineLevel="0" collapsed="false">
      <c r="A10" s="119" t="s">
        <v>56</v>
      </c>
      <c r="B10" s="115" t="s">
        <v>57</v>
      </c>
      <c r="C10" s="117" t="s">
        <v>25</v>
      </c>
      <c r="D10" s="117" t="s">
        <v>53</v>
      </c>
      <c r="E10" s="118" t="s">
        <v>27</v>
      </c>
    </row>
    <row r="11" customFormat="false" ht="13.8" hidden="false" customHeight="false" outlineLevel="0" collapsed="false">
      <c r="A11" s="119" t="s">
        <v>58</v>
      </c>
      <c r="B11" s="120" t="s">
        <v>142</v>
      </c>
      <c r="C11" s="122" t="n">
        <v>77261</v>
      </c>
      <c r="D11" s="119" t="n">
        <v>1</v>
      </c>
      <c r="E11" s="123" t="n">
        <f aca="false">D11*C11</f>
        <v>77261</v>
      </c>
    </row>
    <row r="12" customFormat="false" ht="13.8" hidden="false" customHeight="false" outlineLevel="0" collapsed="false">
      <c r="A12" s="119"/>
      <c r="B12" s="115" t="s">
        <v>60</v>
      </c>
      <c r="C12" s="124" t="n">
        <f aca="false">C11</f>
        <v>77261</v>
      </c>
      <c r="D12" s="125"/>
      <c r="E12" s="126"/>
    </row>
    <row r="13" customFormat="false" ht="13.8" hidden="false" customHeight="false" outlineLevel="0" collapsed="false">
      <c r="A13" s="119"/>
      <c r="B13" s="120" t="s">
        <v>61</v>
      </c>
      <c r="C13" s="127" t="n">
        <f aca="false">C12*D13</f>
        <v>13242.5354</v>
      </c>
      <c r="D13" s="128" t="n">
        <v>0.1714</v>
      </c>
      <c r="E13" s="129" t="n">
        <f aca="false">C13</f>
        <v>13242.5354</v>
      </c>
    </row>
    <row r="14" customFormat="false" ht="13.8" hidden="false" customHeight="false" outlineLevel="0" collapsed="false">
      <c r="A14" s="119"/>
      <c r="B14" s="115" t="s">
        <v>62</v>
      </c>
      <c r="C14" s="127"/>
      <c r="D14" s="130" t="n">
        <f aca="false">E7</f>
        <v>252</v>
      </c>
      <c r="E14" s="118" t="n">
        <f aca="false">C13/D14</f>
        <v>52.5497436507936</v>
      </c>
    </row>
    <row r="15" customFormat="false" ht="13.8" hidden="false" customHeight="false" outlineLevel="0" collapsed="false">
      <c r="A15" s="119" t="s">
        <v>63</v>
      </c>
      <c r="B15" s="115" t="s">
        <v>64</v>
      </c>
      <c r="C15" s="117" t="s">
        <v>65</v>
      </c>
      <c r="D15" s="117" t="s">
        <v>66</v>
      </c>
      <c r="E15" s="118" t="s">
        <v>67</v>
      </c>
    </row>
    <row r="16" customFormat="false" ht="13.8" hidden="false" customHeight="false" outlineLevel="0" collapsed="false">
      <c r="A16" s="119" t="s">
        <v>68</v>
      </c>
      <c r="B16" s="120" t="s">
        <v>69</v>
      </c>
      <c r="C16" s="131" t="n">
        <v>94.1</v>
      </c>
      <c r="D16" s="130" t="n">
        <f aca="false">E7</f>
        <v>252</v>
      </c>
      <c r="E16" s="132" t="n">
        <f aca="false">C16/D16</f>
        <v>0.373412698412698</v>
      </c>
    </row>
    <row r="17" customFormat="false" ht="13.8" hidden="false" customHeight="false" outlineLevel="0" collapsed="false">
      <c r="A17" s="119" t="s">
        <v>70</v>
      </c>
      <c r="B17" s="120" t="s">
        <v>71</v>
      </c>
      <c r="C17" s="131" t="n">
        <f aca="false">C11*3%</f>
        <v>2317.83</v>
      </c>
      <c r="D17" s="119" t="n">
        <v>250</v>
      </c>
      <c r="E17" s="132" t="n">
        <f aca="false">C17/D17</f>
        <v>9.27132</v>
      </c>
    </row>
    <row r="18" customFormat="false" ht="13.8" hidden="false" customHeight="false" outlineLevel="0" collapsed="false">
      <c r="A18" s="119" t="s">
        <v>72</v>
      </c>
      <c r="B18" s="120" t="s">
        <v>73</v>
      </c>
      <c r="C18" s="133" t="n">
        <v>3254.6</v>
      </c>
      <c r="D18" s="130" t="n">
        <f aca="false">E7</f>
        <v>252</v>
      </c>
      <c r="E18" s="132" t="n">
        <f aca="false">C18/D18</f>
        <v>12.9150793650794</v>
      </c>
    </row>
    <row r="19" customFormat="false" ht="13.8" hidden="false" customHeight="false" outlineLevel="0" collapsed="false">
      <c r="A19" s="117"/>
      <c r="B19" s="115" t="s">
        <v>74</v>
      </c>
      <c r="C19" s="134" t="n">
        <f aca="false">SUM(C16:C18)</f>
        <v>5666.53</v>
      </c>
      <c r="D19" s="117"/>
      <c r="E19" s="118" t="n">
        <f aca="false">SUM(E16:E18)</f>
        <v>22.5598120634921</v>
      </c>
    </row>
    <row r="20" customFormat="false" ht="13.8" hidden="false" customHeight="false" outlineLevel="0" collapsed="false">
      <c r="A20" s="119" t="s">
        <v>75</v>
      </c>
      <c r="B20" s="115" t="s">
        <v>76</v>
      </c>
      <c r="C20" s="135"/>
      <c r="D20" s="119"/>
      <c r="E20" s="121"/>
    </row>
    <row r="21" customFormat="false" ht="13.8" hidden="false" customHeight="false" outlineLevel="0" collapsed="false">
      <c r="A21" s="119" t="s">
        <v>39</v>
      </c>
      <c r="B21" s="136" t="s">
        <v>77</v>
      </c>
      <c r="C21" s="135" t="n">
        <f aca="false">(C7*2)+(E5*2)</f>
        <v>592</v>
      </c>
      <c r="D21" s="119"/>
      <c r="E21" s="121"/>
    </row>
    <row r="22" customFormat="false" ht="13.8" hidden="false" customHeight="false" outlineLevel="0" collapsed="false">
      <c r="A22" s="119" t="s">
        <v>78</v>
      </c>
      <c r="B22" s="136" t="s">
        <v>79</v>
      </c>
      <c r="C22" s="122" t="n">
        <v>13</v>
      </c>
      <c r="D22" s="119"/>
      <c r="E22" s="121"/>
    </row>
    <row r="23" customFormat="false" ht="13.8" hidden="false" customHeight="false" outlineLevel="0" collapsed="false">
      <c r="A23" s="119" t="s">
        <v>41</v>
      </c>
      <c r="B23" s="136" t="s">
        <v>80</v>
      </c>
      <c r="C23" s="137" t="n">
        <v>5.89</v>
      </c>
      <c r="D23" s="119"/>
      <c r="E23" s="121"/>
    </row>
    <row r="24" customFormat="false" ht="13.8" hidden="false" customHeight="false" outlineLevel="0" collapsed="false">
      <c r="A24" s="119"/>
      <c r="B24" s="116" t="s">
        <v>81</v>
      </c>
      <c r="C24" s="138" t="n">
        <f aca="false">(C23)*(C21/C22)</f>
        <v>268.221538461538</v>
      </c>
      <c r="D24" s="119"/>
      <c r="E24" s="121" t="n">
        <f aca="false">C24</f>
        <v>268.221538461538</v>
      </c>
    </row>
    <row r="25" customFormat="false" ht="13.8" hidden="false" customHeight="false" outlineLevel="0" collapsed="false">
      <c r="A25" s="119" t="s">
        <v>82</v>
      </c>
      <c r="B25" s="115" t="s">
        <v>83</v>
      </c>
      <c r="C25" s="139"/>
      <c r="D25" s="140"/>
      <c r="E25" s="121"/>
    </row>
    <row r="26" customFormat="false" ht="13.8" hidden="false" customHeight="false" outlineLevel="0" collapsed="false">
      <c r="A26" s="119" t="s">
        <v>84</v>
      </c>
      <c r="B26" s="120" t="s">
        <v>85</v>
      </c>
      <c r="C26" s="140" t="n">
        <v>0.06</v>
      </c>
      <c r="D26" s="140"/>
      <c r="E26" s="121"/>
    </row>
    <row r="27" customFormat="false" ht="13.8" hidden="false" customHeight="false" outlineLevel="0" collapsed="false">
      <c r="A27" s="119" t="s">
        <v>86</v>
      </c>
      <c r="B27" s="120" t="s">
        <v>87</v>
      </c>
      <c r="C27" s="140" t="n">
        <f aca="false">C24</f>
        <v>268.221538461538</v>
      </c>
      <c r="D27" s="140"/>
      <c r="E27" s="121"/>
    </row>
    <row r="28" customFormat="false" ht="13.8" hidden="false" customHeight="false" outlineLevel="0" collapsed="false">
      <c r="A28" s="119"/>
      <c r="B28" s="115" t="s">
        <v>88</v>
      </c>
      <c r="C28" s="139" t="n">
        <f aca="false">C27*C26</f>
        <v>16.0932923076923</v>
      </c>
      <c r="D28" s="140"/>
      <c r="E28" s="121" t="n">
        <f aca="false">C28</f>
        <v>16.0932923076923</v>
      </c>
    </row>
    <row r="29" customFormat="false" ht="13.8" hidden="false" customHeight="false" outlineLevel="0" collapsed="false">
      <c r="A29" s="119" t="s">
        <v>89</v>
      </c>
      <c r="B29" s="115" t="s">
        <v>90</v>
      </c>
      <c r="C29" s="139"/>
      <c r="D29" s="140"/>
      <c r="E29" s="121"/>
    </row>
    <row r="30" customFormat="false" ht="13.8" hidden="false" customHeight="false" outlineLevel="0" collapsed="false">
      <c r="A30" s="119" t="s">
        <v>91</v>
      </c>
      <c r="B30" s="120" t="s">
        <v>92</v>
      </c>
      <c r="C30" s="141" t="n">
        <f aca="false">(528+488+314.91)/3</f>
        <v>443.636666666667</v>
      </c>
      <c r="D30" s="140"/>
      <c r="E30" s="121"/>
    </row>
    <row r="31" customFormat="false" ht="13.8" hidden="false" customHeight="false" outlineLevel="0" collapsed="false">
      <c r="A31" s="119" t="s">
        <v>93</v>
      </c>
      <c r="B31" s="120" t="s">
        <v>94</v>
      </c>
      <c r="C31" s="140" t="n">
        <v>4</v>
      </c>
      <c r="D31" s="140"/>
      <c r="E31" s="121"/>
    </row>
    <row r="32" customFormat="false" ht="13.8" hidden="false" customHeight="false" outlineLevel="0" collapsed="false">
      <c r="A32" s="119" t="s">
        <v>95</v>
      </c>
      <c r="B32" s="120" t="s">
        <v>96</v>
      </c>
      <c r="C32" s="140" t="n">
        <v>35000</v>
      </c>
      <c r="D32" s="140"/>
      <c r="E32" s="121"/>
    </row>
    <row r="33" customFormat="false" ht="13.8" hidden="false" customHeight="false" outlineLevel="0" collapsed="false">
      <c r="A33" s="119" t="s">
        <v>97</v>
      </c>
      <c r="B33" s="136" t="s">
        <v>98</v>
      </c>
      <c r="C33" s="140" t="n">
        <f aca="false">C7*2</f>
        <v>432</v>
      </c>
      <c r="D33" s="140"/>
      <c r="E33" s="121"/>
    </row>
    <row r="34" customFormat="false" ht="13.8" hidden="false" customHeight="false" outlineLevel="0" collapsed="false">
      <c r="A34" s="119" t="s">
        <v>99</v>
      </c>
      <c r="B34" s="18" t="s">
        <v>100</v>
      </c>
      <c r="C34" s="140" t="n">
        <v>1</v>
      </c>
      <c r="D34" s="140"/>
      <c r="E34" s="121"/>
    </row>
    <row r="35" customFormat="false" ht="13.8" hidden="false" customHeight="false" outlineLevel="0" collapsed="false">
      <c r="A35" s="119"/>
      <c r="B35" s="115" t="s">
        <v>101</v>
      </c>
      <c r="C35" s="139" t="n">
        <f aca="false">(C30*C31)/C32*C33/C34</f>
        <v>21.902976</v>
      </c>
      <c r="D35" s="140"/>
      <c r="E35" s="121" t="n">
        <f aca="false">C35</f>
        <v>21.902976</v>
      </c>
    </row>
    <row r="36" customFormat="false" ht="13.8" hidden="false" customHeight="false" outlineLevel="0" collapsed="false">
      <c r="A36" s="119" t="s">
        <v>102</v>
      </c>
      <c r="B36" s="115" t="s">
        <v>103</v>
      </c>
      <c r="C36" s="139"/>
      <c r="D36" s="119"/>
      <c r="E36" s="121"/>
    </row>
    <row r="37" customFormat="false" ht="13.8" hidden="false" customHeight="false" outlineLevel="0" collapsed="false">
      <c r="A37" s="119" t="s">
        <v>104</v>
      </c>
      <c r="B37" s="120" t="s">
        <v>105</v>
      </c>
      <c r="C37" s="142" t="n">
        <v>0.74</v>
      </c>
      <c r="D37" s="119"/>
      <c r="E37" s="121"/>
    </row>
    <row r="38" customFormat="false" ht="13.8" hidden="false" customHeight="false" outlineLevel="0" collapsed="false">
      <c r="A38" s="119" t="s">
        <v>106</v>
      </c>
      <c r="B38" s="120" t="s">
        <v>107</v>
      </c>
      <c r="C38" s="135" t="n">
        <f aca="false">C24</f>
        <v>268.221538461538</v>
      </c>
      <c r="D38" s="119"/>
      <c r="E38" s="121"/>
    </row>
    <row r="39" customFormat="false" ht="13.8" hidden="false" customHeight="false" outlineLevel="0" collapsed="false">
      <c r="A39" s="119"/>
      <c r="B39" s="115" t="s">
        <v>88</v>
      </c>
      <c r="C39" s="139" t="n">
        <f aca="false">C38*C37</f>
        <v>198.483938461538</v>
      </c>
      <c r="D39" s="140"/>
      <c r="E39" s="121" t="n">
        <f aca="false">C39</f>
        <v>198.483938461538</v>
      </c>
    </row>
    <row r="40" customFormat="false" ht="13.8" hidden="false" customHeight="false" outlineLevel="0" collapsed="false">
      <c r="A40" s="119" t="s">
        <v>108</v>
      </c>
      <c r="B40" s="115" t="s">
        <v>109</v>
      </c>
      <c r="C40" s="139"/>
      <c r="D40" s="119"/>
      <c r="E40" s="121"/>
    </row>
    <row r="41" customFormat="false" ht="13.8" hidden="false" customHeight="false" outlineLevel="0" collapsed="false">
      <c r="A41" s="119" t="s">
        <v>110</v>
      </c>
      <c r="B41" s="120" t="s">
        <v>111</v>
      </c>
      <c r="C41" s="122" t="n">
        <f aca="false">'Valor Serviço'!C12</f>
        <v>8090.171672</v>
      </c>
      <c r="D41" s="119"/>
      <c r="E41" s="121"/>
    </row>
    <row r="42" customFormat="false" ht="13.8" hidden="false" customHeight="false" outlineLevel="0" collapsed="false">
      <c r="A42" s="119" t="s">
        <v>112</v>
      </c>
      <c r="B42" s="120" t="s">
        <v>105</v>
      </c>
      <c r="C42" s="143" t="n">
        <v>0.08</v>
      </c>
      <c r="D42" s="119"/>
      <c r="E42" s="121"/>
    </row>
    <row r="43" customFormat="false" ht="13.8" hidden="false" customHeight="false" outlineLevel="0" collapsed="false">
      <c r="A43" s="119"/>
      <c r="B43" s="120" t="s">
        <v>101</v>
      </c>
      <c r="C43" s="144" t="n">
        <f aca="false">C41*C42</f>
        <v>647.21373376</v>
      </c>
      <c r="D43" s="119"/>
      <c r="E43" s="121" t="n">
        <f aca="false">C43/D7</f>
        <v>30.8197016076191</v>
      </c>
    </row>
    <row r="44" customFormat="false" ht="13.8" hidden="false" customHeight="false" outlineLevel="0" collapsed="false">
      <c r="A44" s="136" t="s">
        <v>113</v>
      </c>
      <c r="B44" s="116" t="s">
        <v>114</v>
      </c>
      <c r="C44" s="117" t="s">
        <v>25</v>
      </c>
      <c r="D44" s="117" t="s">
        <v>53</v>
      </c>
      <c r="E44" s="118" t="s">
        <v>27</v>
      </c>
    </row>
    <row r="45" customFormat="false" ht="13.8" hidden="false" customHeight="false" outlineLevel="0" collapsed="false">
      <c r="A45" s="136" t="s">
        <v>115</v>
      </c>
      <c r="B45" s="136" t="s">
        <v>116</v>
      </c>
      <c r="C45" s="145" t="n">
        <f aca="false">25*21</f>
        <v>525</v>
      </c>
      <c r="D45" s="119" t="n">
        <v>21</v>
      </c>
      <c r="E45" s="146" t="n">
        <f aca="false">C45/D45</f>
        <v>25</v>
      </c>
    </row>
    <row r="46" customFormat="false" ht="13.8" hidden="false" customHeight="false" outlineLevel="0" collapsed="false">
      <c r="A46" s="136" t="s">
        <v>117</v>
      </c>
      <c r="B46" s="136" t="s">
        <v>118</v>
      </c>
      <c r="C46" s="127" t="n">
        <f aca="false">'valores Operacionais'!F10</f>
        <v>71.8011111111111</v>
      </c>
      <c r="D46" s="119" t="n">
        <v>21</v>
      </c>
      <c r="E46" s="146" t="n">
        <f aca="false">C46/D46</f>
        <v>3.41910052910053</v>
      </c>
    </row>
    <row r="47" customFormat="false" ht="13.8" hidden="false" customHeight="false" outlineLevel="0" collapsed="false">
      <c r="A47" s="136"/>
      <c r="B47" s="136" t="s">
        <v>119</v>
      </c>
      <c r="C47" s="127"/>
      <c r="D47" s="119"/>
      <c r="E47" s="126" t="n">
        <f aca="false">E45+E46</f>
        <v>28.4191005291005</v>
      </c>
    </row>
    <row r="48" customFormat="false" ht="13.8" hidden="false" customHeight="false" outlineLevel="0" collapsed="false">
      <c r="A48" s="119" t="s">
        <v>120</v>
      </c>
      <c r="B48" s="115" t="s">
        <v>121</v>
      </c>
      <c r="C48" s="140"/>
      <c r="D48" s="119"/>
      <c r="E48" s="121"/>
    </row>
    <row r="49" customFormat="false" ht="13.8" hidden="false" customHeight="false" outlineLevel="0" collapsed="false">
      <c r="A49" s="119" t="s">
        <v>122</v>
      </c>
      <c r="B49" s="147" t="s">
        <v>123</v>
      </c>
      <c r="C49" s="141" t="n">
        <f aca="false">C11</f>
        <v>77261</v>
      </c>
      <c r="D49" s="119"/>
      <c r="E49" s="121"/>
    </row>
    <row r="50" customFormat="false" ht="13.8" hidden="false" customHeight="false" outlineLevel="0" collapsed="false">
      <c r="A50" s="119" t="s">
        <v>124</v>
      </c>
      <c r="B50" s="147" t="s">
        <v>125</v>
      </c>
      <c r="C50" s="148" t="n">
        <v>0.1325</v>
      </c>
      <c r="D50" s="119"/>
      <c r="E50" s="121"/>
    </row>
    <row r="51" customFormat="false" ht="13.8" hidden="false" customHeight="false" outlineLevel="0" collapsed="false">
      <c r="A51" s="119" t="s">
        <v>126</v>
      </c>
      <c r="B51" s="147" t="s">
        <v>127</v>
      </c>
      <c r="C51" s="139" t="n">
        <v>0.8</v>
      </c>
      <c r="D51" s="119"/>
      <c r="E51" s="121"/>
    </row>
    <row r="52" customFormat="false" ht="13.8" hidden="false" customHeight="false" outlineLevel="0" collapsed="false">
      <c r="A52" s="119"/>
      <c r="B52" s="149" t="s">
        <v>128</v>
      </c>
      <c r="C52" s="140" t="n">
        <f aca="false">C49*C50*C51</f>
        <v>8189.666</v>
      </c>
      <c r="D52" s="119"/>
      <c r="E52" s="121"/>
    </row>
    <row r="53" customFormat="false" ht="13.8" hidden="false" customHeight="false" outlineLevel="0" collapsed="false">
      <c r="A53" s="119"/>
      <c r="B53" s="149" t="s">
        <v>130</v>
      </c>
      <c r="C53" s="139" t="n">
        <f aca="false">C52/E7</f>
        <v>32.4986746031746</v>
      </c>
      <c r="D53" s="119"/>
      <c r="E53" s="121" t="n">
        <f aca="false">C53</f>
        <v>32.4986746031746</v>
      </c>
    </row>
    <row r="54" customFormat="false" ht="13.8" hidden="false" customHeight="false" outlineLevel="0" collapsed="false">
      <c r="A54" s="117"/>
      <c r="B54" s="115" t="s">
        <v>131</v>
      </c>
      <c r="C54" s="139"/>
      <c r="D54" s="117"/>
      <c r="E54" s="118" t="n">
        <f aca="false">E19+E24+E28+E35+E39+E43+E47+E53</f>
        <v>618.999034034156</v>
      </c>
    </row>
    <row r="55" customFormat="false" ht="13.8" hidden="false" customHeight="false" outlineLevel="0" collapsed="false">
      <c r="A55" s="119" t="s">
        <v>132</v>
      </c>
      <c r="B55" s="115" t="s">
        <v>36</v>
      </c>
      <c r="C55" s="139" t="s">
        <v>37</v>
      </c>
      <c r="D55" s="117" t="s">
        <v>38</v>
      </c>
      <c r="E55" s="118" t="s">
        <v>27</v>
      </c>
    </row>
    <row r="56" customFormat="false" ht="13.8" hidden="false" customHeight="false" outlineLevel="0" collapsed="false">
      <c r="A56" s="119" t="s">
        <v>133</v>
      </c>
      <c r="B56" s="120" t="s">
        <v>40</v>
      </c>
      <c r="C56" s="150" t="n">
        <f aca="false">ROUND((E54/D59),2)</f>
        <v>742.65</v>
      </c>
      <c r="D56" s="151" t="n">
        <v>0.0665</v>
      </c>
      <c r="E56" s="152" t="n">
        <f aca="false">C56*D56</f>
        <v>49.386225</v>
      </c>
    </row>
    <row r="57" customFormat="false" ht="13.8" hidden="false" customHeight="false" outlineLevel="0" collapsed="false">
      <c r="A57" s="119" t="s">
        <v>135</v>
      </c>
      <c r="B57" s="120" t="s">
        <v>42</v>
      </c>
      <c r="C57" s="153" t="n">
        <f aca="false">C56</f>
        <v>742.65</v>
      </c>
      <c r="D57" s="154" t="n">
        <v>0.1</v>
      </c>
      <c r="E57" s="155" t="n">
        <f aca="false">C57*D57</f>
        <v>74.265</v>
      </c>
    </row>
    <row r="58" customFormat="false" ht="13.8" hidden="false" customHeight="false" outlineLevel="0" collapsed="false">
      <c r="A58" s="119"/>
      <c r="B58" s="115" t="s">
        <v>43</v>
      </c>
      <c r="C58" s="156"/>
      <c r="D58" s="157" t="n">
        <f aca="false">SUM(D56:D57)</f>
        <v>0.1665</v>
      </c>
      <c r="E58" s="158" t="n">
        <f aca="false">SUM(E56:E57)</f>
        <v>123.651225</v>
      </c>
    </row>
    <row r="59" customFormat="false" ht="13.8" hidden="false" customHeight="false" outlineLevel="0" collapsed="false">
      <c r="A59" s="119"/>
      <c r="B59" s="115"/>
      <c r="C59" s="156"/>
      <c r="D59" s="151" t="n">
        <f aca="false">1-D58</f>
        <v>0.8335</v>
      </c>
      <c r="E59" s="152"/>
    </row>
    <row r="60" customFormat="false" ht="13.8" hidden="false" customHeight="false" outlineLevel="0" collapsed="false">
      <c r="A60" s="19" t="n">
        <v>10</v>
      </c>
      <c r="B60" s="22" t="s">
        <v>144</v>
      </c>
      <c r="C60" s="156" t="n">
        <f aca="false">E58+E54</f>
        <v>742.650259034156</v>
      </c>
      <c r="D60" s="119"/>
      <c r="E60" s="152"/>
    </row>
    <row r="61" customFormat="false" ht="13.8" hidden="false" customHeight="false" outlineLevel="0" collapsed="false">
      <c r="A61" s="64" t="n">
        <v>11</v>
      </c>
      <c r="B61" s="90" t="s">
        <v>145</v>
      </c>
      <c r="C61" s="106" t="n">
        <f aca="false">'Valor Serviço'!C19</f>
        <v>323.541799066667</v>
      </c>
      <c r="D61" s="8"/>
      <c r="E61" s="8"/>
    </row>
    <row r="62" customFormat="false" ht="13.8" hidden="false" customHeight="false" outlineLevel="0" collapsed="false">
      <c r="A62" s="96"/>
      <c r="B62" s="97" t="s">
        <v>140</v>
      </c>
      <c r="C62" s="106" t="n">
        <f aca="false">C60+C61</f>
        <v>1066.19205810082</v>
      </c>
      <c r="D62" s="8"/>
      <c r="E62" s="8"/>
    </row>
  </sheetData>
  <mergeCells count="6">
    <mergeCell ref="B1:E1"/>
    <mergeCell ref="B2:E2"/>
    <mergeCell ref="B3:E3"/>
    <mergeCell ref="A4:E4"/>
    <mergeCell ref="A5:D5"/>
    <mergeCell ref="A6:B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1048576"/>
  <sheetViews>
    <sheetView showFormulas="false" showGridLines="true" showRowColHeaders="true" showZeros="true" rightToLeft="false" tabSelected="true" showOutlineSymbols="true" defaultGridColor="true" view="pageBreakPreview" topLeftCell="A3" colorId="64" zoomScale="100" zoomScaleNormal="100" zoomScalePageLayoutView="100" workbookViewId="0">
      <selection pane="topLeft" activeCell="I12" activeCellId="0" sqref="I12"/>
    </sheetView>
  </sheetViews>
  <sheetFormatPr defaultColWidth="11.55078125" defaultRowHeight="13.8" zeroHeight="false" outlineLevelRow="0" outlineLevelCol="0"/>
  <cols>
    <col collapsed="false" customWidth="true" hidden="false" outlineLevel="0" max="1" min="1" style="1" width="16.83"/>
    <col collapsed="false" customWidth="true" hidden="false" outlineLevel="0" max="2" min="2" style="159" width="17.66"/>
    <col collapsed="false" customWidth="true" hidden="false" outlineLevel="0" max="3" min="3" style="159" width="16.43"/>
    <col collapsed="false" customWidth="true" hidden="false" outlineLevel="0" max="4" min="4" style="1" width="16.12"/>
  </cols>
  <sheetData>
    <row r="1" customFormat="false" ht="25.35" hidden="false" customHeight="true" outlineLevel="0" collapsed="false">
      <c r="A1" s="160" t="s">
        <v>154</v>
      </c>
      <c r="B1" s="160"/>
      <c r="C1" s="160"/>
      <c r="D1" s="161"/>
      <c r="E1" s="161"/>
      <c r="F1" s="161"/>
      <c r="G1" s="161"/>
    </row>
    <row r="2" customFormat="false" ht="12.65" hidden="false" customHeight="true" outlineLevel="0" collapsed="false">
      <c r="A2" s="162"/>
      <c r="B2" s="163"/>
      <c r="C2" s="163"/>
      <c r="D2" s="161"/>
      <c r="E2" s="161"/>
      <c r="F2" s="161"/>
      <c r="G2" s="161"/>
    </row>
    <row r="3" customFormat="false" ht="25.35" hidden="false" customHeight="true" outlineLevel="0" collapsed="false">
      <c r="A3" s="164" t="s">
        <v>155</v>
      </c>
      <c r="B3" s="164"/>
      <c r="C3" s="164"/>
      <c r="D3" s="161"/>
      <c r="E3" s="161"/>
      <c r="F3" s="161"/>
      <c r="G3" s="161"/>
    </row>
    <row r="4" customFormat="false" ht="13.8" hidden="false" customHeight="true" outlineLevel="0" collapsed="false">
      <c r="A4" s="165" t="s">
        <v>156</v>
      </c>
      <c r="B4" s="166" t="s">
        <v>157</v>
      </c>
      <c r="C4" s="166" t="s">
        <v>158</v>
      </c>
      <c r="D4" s="161"/>
      <c r="E4" s="161"/>
      <c r="F4" s="161"/>
      <c r="G4" s="161"/>
    </row>
    <row r="5" customFormat="false" ht="15" hidden="false" customHeight="false" outlineLevel="0" collapsed="false">
      <c r="A5" s="165"/>
      <c r="B5" s="167" t="s">
        <v>159</v>
      </c>
      <c r="C5" s="167" t="s">
        <v>159</v>
      </c>
      <c r="D5" s="161"/>
      <c r="E5" s="161"/>
      <c r="F5" s="161"/>
      <c r="G5" s="161"/>
    </row>
    <row r="6" customFormat="false" ht="15" hidden="false" customHeight="false" outlineLevel="0" collapsed="false">
      <c r="A6" s="168" t="s">
        <v>160</v>
      </c>
      <c r="B6" s="169" t="n">
        <v>5</v>
      </c>
      <c r="C6" s="169" t="n">
        <v>1</v>
      </c>
      <c r="D6" s="161"/>
      <c r="E6" s="161"/>
      <c r="F6" s="161"/>
      <c r="G6" s="161"/>
    </row>
    <row r="7" customFormat="false" ht="15" hidden="false" customHeight="false" outlineLevel="0" collapsed="false">
      <c r="A7" s="168" t="s">
        <v>119</v>
      </c>
      <c r="B7" s="170" t="n">
        <f aca="false">'visita técnica com deslocamento'!C64</f>
        <v>909.640329254668</v>
      </c>
      <c r="C7" s="171" t="n">
        <f aca="false">(SARANDI!C64+SAMBURÁ!C64+'São Miguel'!C64+Ivaí!C64+'Rincão do Meio'!C64+'Nhu porã'!C64+'Vila Brites'!C62)/7</f>
        <v>1001.62257777115</v>
      </c>
      <c r="D7" s="161"/>
      <c r="E7" s="161"/>
      <c r="F7" s="161"/>
      <c r="G7" s="161"/>
    </row>
    <row r="8" customFormat="false" ht="15" hidden="false" customHeight="false" outlineLevel="0" collapsed="false">
      <c r="A8" s="168" t="s">
        <v>161</v>
      </c>
      <c r="B8" s="171" t="n">
        <f aca="false">B6*B7</f>
        <v>4548.20164627334</v>
      </c>
      <c r="C8" s="171" t="n">
        <f aca="false">C6*C7</f>
        <v>1001.62257777115</v>
      </c>
      <c r="D8" s="161"/>
      <c r="E8" s="161"/>
      <c r="F8" s="161"/>
      <c r="G8" s="161"/>
    </row>
    <row r="9" customFormat="false" ht="15" hidden="false" customHeight="false" outlineLevel="0" collapsed="false">
      <c r="A9" s="172" t="s">
        <v>162</v>
      </c>
      <c r="B9" s="173" t="n">
        <f aca="false">B8+C8</f>
        <v>5549.82422404449</v>
      </c>
      <c r="C9" s="173"/>
      <c r="D9" s="161"/>
      <c r="E9" s="161"/>
      <c r="F9" s="161"/>
      <c r="G9" s="161"/>
    </row>
    <row r="10" customFormat="false" ht="15" hidden="false" customHeight="false" outlineLevel="0" collapsed="false">
      <c r="A10" s="51"/>
      <c r="B10" s="163"/>
      <c r="C10" s="163"/>
      <c r="D10" s="161"/>
      <c r="E10" s="161"/>
      <c r="F10" s="161"/>
      <c r="G10" s="161"/>
    </row>
    <row r="11" s="1" customFormat="true" ht="15" hidden="false" customHeight="false" outlineLevel="0" collapsed="false">
      <c r="B11" s="163"/>
      <c r="C11" s="163"/>
      <c r="D11" s="161"/>
      <c r="E11" s="161"/>
      <c r="F11" s="161"/>
      <c r="G11" s="161"/>
    </row>
    <row r="12" customFormat="false" ht="25.35" hidden="false" customHeight="true" outlineLevel="0" collapsed="false">
      <c r="A12" s="164" t="s">
        <v>163</v>
      </c>
      <c r="B12" s="164"/>
      <c r="C12" s="164"/>
      <c r="D12" s="161"/>
      <c r="E12" s="161"/>
      <c r="F12" s="161"/>
      <c r="G12" s="161"/>
    </row>
    <row r="13" customFormat="false" ht="15" hidden="false" customHeight="true" outlineLevel="0" collapsed="false">
      <c r="A13" s="165" t="s">
        <v>164</v>
      </c>
      <c r="B13" s="166" t="s">
        <v>157</v>
      </c>
      <c r="C13" s="166" t="s">
        <v>158</v>
      </c>
      <c r="D13" s="161"/>
      <c r="E13" s="161"/>
      <c r="F13" s="161"/>
      <c r="G13" s="161"/>
    </row>
    <row r="14" customFormat="false" ht="15" hidden="false" customHeight="false" outlineLevel="0" collapsed="false">
      <c r="A14" s="165"/>
      <c r="B14" s="167" t="s">
        <v>159</v>
      </c>
      <c r="C14" s="167" t="s">
        <v>159</v>
      </c>
      <c r="D14" s="161"/>
      <c r="E14" s="161"/>
      <c r="F14" s="161"/>
      <c r="G14" s="161"/>
    </row>
    <row r="15" customFormat="false" ht="15" hidden="false" customHeight="false" outlineLevel="0" collapsed="false">
      <c r="A15" s="168" t="s">
        <v>160</v>
      </c>
      <c r="B15" s="169" t="n">
        <v>2</v>
      </c>
      <c r="C15" s="169" t="n">
        <v>0</v>
      </c>
      <c r="D15" s="161"/>
      <c r="E15" s="161"/>
      <c r="F15" s="161"/>
      <c r="G15" s="161"/>
    </row>
    <row r="16" customFormat="false" ht="15" hidden="false" customHeight="false" outlineLevel="0" collapsed="false">
      <c r="A16" s="168" t="s">
        <v>119</v>
      </c>
      <c r="B16" s="171" t="n">
        <f aca="false">'visita técnica com deslocamento'!C64</f>
        <v>909.640329254668</v>
      </c>
      <c r="C16" s="169" t="n">
        <f aca="false">((SARANDI!G71++SAMBURÁ!G71+'São Miguel'!G71+Ivaí!G71+'Rincão do Meio'!G71+'Nhu porã'!G71+'Vila Brites'!G69)/7)*C15</f>
        <v>0</v>
      </c>
      <c r="D16" s="161"/>
      <c r="E16" s="161"/>
      <c r="F16" s="161"/>
      <c r="G16" s="161"/>
    </row>
    <row r="17" customFormat="false" ht="15" hidden="false" customHeight="false" outlineLevel="0" collapsed="false">
      <c r="A17" s="167" t="s">
        <v>162</v>
      </c>
      <c r="B17" s="173" t="n">
        <f aca="false">(B16*B15)+(C15*C16)</f>
        <v>1819.28065850934</v>
      </c>
      <c r="C17" s="173"/>
      <c r="D17" s="161"/>
      <c r="E17" s="161"/>
      <c r="F17" s="161"/>
      <c r="G17" s="174"/>
      <c r="H17" s="175"/>
      <c r="I17" s="175"/>
    </row>
    <row r="18" customFormat="false" ht="15" hidden="false" customHeight="false" outlineLevel="0" collapsed="false">
      <c r="A18" s="176"/>
      <c r="B18" s="163"/>
      <c r="C18" s="163"/>
      <c r="D18" s="161"/>
      <c r="E18" s="161"/>
      <c r="F18" s="161"/>
      <c r="G18" s="161"/>
    </row>
    <row r="19" customFormat="false" ht="15" hidden="false" customHeight="false" outlineLevel="0" collapsed="false">
      <c r="A19" s="161"/>
      <c r="B19" s="163"/>
      <c r="C19" s="163"/>
      <c r="D19" s="161"/>
      <c r="E19" s="161"/>
      <c r="F19" s="161"/>
      <c r="G19" s="161"/>
    </row>
    <row r="20" customFormat="false" ht="13.8" hidden="false" customHeight="false" outlineLevel="0" collapsed="false">
      <c r="A20" s="177" t="s">
        <v>165</v>
      </c>
      <c r="B20" s="177"/>
      <c r="C20" s="177"/>
    </row>
    <row r="21" customFormat="false" ht="13.8" hidden="false" customHeight="false" outlineLevel="0" collapsed="false">
      <c r="A21" s="178" t="s">
        <v>166</v>
      </c>
      <c r="B21" s="179" t="s">
        <v>167</v>
      </c>
      <c r="C21" s="180" t="s">
        <v>168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customFormat="false" ht="13.8" hidden="false" customHeight="false" outlineLevel="0" collapsed="false">
      <c r="A22" s="172" t="s">
        <v>169</v>
      </c>
      <c r="B22" s="181" t="n">
        <f aca="false">B9*C22</f>
        <v>3884.87695683115</v>
      </c>
      <c r="C22" s="182" t="n">
        <v>0.7</v>
      </c>
    </row>
    <row r="23" customFormat="false" ht="15" hidden="false" customHeight="false" outlineLevel="0" collapsed="false">
      <c r="A23" s="161"/>
      <c r="B23" s="163"/>
      <c r="C23" s="16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="175" customFormat="true" ht="23.85" hidden="false" customHeight="true" outlineLevel="0" collapsed="false">
      <c r="A24" s="183" t="s">
        <v>170</v>
      </c>
      <c r="B24" s="183"/>
      <c r="C24" s="183"/>
      <c r="D24" s="18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customFormat="false" ht="29.1" hidden="false" customHeight="true" outlineLevel="0" collapsed="false">
      <c r="A25" s="184" t="s">
        <v>166</v>
      </c>
      <c r="B25" s="185" t="s">
        <v>159</v>
      </c>
      <c r="C25" s="184" t="s">
        <v>171</v>
      </c>
      <c r="D25" s="184" t="s">
        <v>172</v>
      </c>
    </row>
    <row r="26" customFormat="false" ht="35.05" hidden="false" customHeight="false" outlineLevel="0" collapsed="false">
      <c r="A26" s="186" t="s">
        <v>173</v>
      </c>
      <c r="B26" s="187" t="n">
        <f aca="false">B6</f>
        <v>5</v>
      </c>
      <c r="C26" s="106" t="n">
        <f aca="false">B9</f>
        <v>5549.82422404449</v>
      </c>
      <c r="D26" s="188" t="n">
        <f aca="false">C26*12</f>
        <v>66597.8906885339</v>
      </c>
    </row>
    <row r="27" customFormat="false" ht="25.35" hidden="false" customHeight="true" outlineLevel="0" collapsed="false">
      <c r="A27" s="186" t="s">
        <v>174</v>
      </c>
      <c r="B27" s="187" t="n">
        <f aca="false">B15</f>
        <v>2</v>
      </c>
      <c r="C27" s="106" t="n">
        <f aca="false">B17</f>
        <v>1819.28065850934</v>
      </c>
      <c r="D27" s="188" t="n">
        <f aca="false">C27*12</f>
        <v>21831.367902112</v>
      </c>
    </row>
    <row r="28" customFormat="false" ht="23.1" hidden="false" customHeight="true" outlineLevel="0" collapsed="false">
      <c r="A28" s="186" t="s">
        <v>175</v>
      </c>
      <c r="B28" s="187" t="s">
        <v>176</v>
      </c>
      <c r="C28" s="106" t="n">
        <f aca="false">B22</f>
        <v>3884.87695683115</v>
      </c>
      <c r="D28" s="188" t="n">
        <f aca="false">C28*12</f>
        <v>46618.5234819737</v>
      </c>
    </row>
    <row r="29" customFormat="false" ht="31.3" hidden="false" customHeight="true" outlineLevel="0" collapsed="false">
      <c r="A29" s="186" t="s">
        <v>177</v>
      </c>
      <c r="B29" s="187"/>
      <c r="C29" s="106" t="n">
        <f aca="false">SUM(C26:C28)</f>
        <v>11253.981839385</v>
      </c>
      <c r="D29" s="188" t="n">
        <f aca="false">SUM(D26:D28)</f>
        <v>135047.78207262</v>
      </c>
    </row>
    <row r="31" customFormat="false" ht="13.8" hidden="false" customHeight="false" outlineLevel="0" collapsed="false">
      <c r="C31" s="1"/>
      <c r="D31" s="189" t="n">
        <v>45168</v>
      </c>
    </row>
    <row r="1048576" customFormat="false" ht="12.8" hidden="false" customHeight="false" outlineLevel="0" collapsed="false"/>
  </sheetData>
  <mergeCells count="9">
    <mergeCell ref="A1:C1"/>
    <mergeCell ref="A3:C3"/>
    <mergeCell ref="A4:A5"/>
    <mergeCell ref="B9:C9"/>
    <mergeCell ref="A12:C12"/>
    <mergeCell ref="A13:A14"/>
    <mergeCell ref="B17:C17"/>
    <mergeCell ref="A20:C20"/>
    <mergeCell ref="A24:D2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9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22" activeCellId="0" sqref="G22"/>
    </sheetView>
  </sheetViews>
  <sheetFormatPr defaultColWidth="11.55078125" defaultRowHeight="13.8" zeroHeight="false" outlineLevelRow="0" outlineLevelCol="0"/>
  <cols>
    <col collapsed="false" customWidth="true" hidden="false" outlineLevel="0" max="1" min="1" style="1" width="7.93"/>
    <col collapsed="false" customWidth="true" hidden="false" outlineLevel="0" max="2" min="2" style="1" width="31.16"/>
    <col collapsed="false" customWidth="true" hidden="false" outlineLevel="0" max="3" min="3" style="1" width="15.58"/>
    <col collapsed="false" customWidth="true" hidden="false" outlineLevel="0" max="4" min="4" style="1" width="11.12"/>
    <col collapsed="false" customWidth="true" hidden="false" outlineLevel="0" max="5" min="5" style="10" width="14.17"/>
    <col collapsed="false" customWidth="true" hidden="false" outlineLevel="0" max="9" min="9" style="1" width="18.22"/>
    <col collapsed="false" customWidth="true" hidden="false" outlineLevel="0" max="10" min="10" style="1" width="16.43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3"/>
      <c r="D4" s="12"/>
      <c r="E4" s="12"/>
      <c r="G4" s="14"/>
    </row>
    <row r="5" customFormat="false" ht="23.85" hidden="false" customHeight="true" outlineLevel="0" collapsed="false">
      <c r="A5" s="15" t="s">
        <v>20</v>
      </c>
      <c r="B5" s="15"/>
      <c r="C5" s="15"/>
      <c r="D5" s="15"/>
      <c r="E5" s="15"/>
    </row>
    <row r="6" customFormat="false" ht="13.8" hidden="false" customHeight="false" outlineLevel="0" collapsed="false">
      <c r="A6" s="16" t="s">
        <v>21</v>
      </c>
      <c r="B6" s="17" t="s">
        <v>2</v>
      </c>
      <c r="C6" s="18"/>
      <c r="D6" s="19"/>
      <c r="E6" s="20"/>
    </row>
    <row r="7" customFormat="false" ht="13.8" hidden="false" customHeight="false" outlineLevel="0" collapsed="false">
      <c r="A7" s="21" t="n">
        <v>1</v>
      </c>
      <c r="B7" s="22" t="s">
        <v>22</v>
      </c>
      <c r="C7" s="18"/>
      <c r="D7" s="19"/>
      <c r="E7" s="20"/>
    </row>
    <row r="8" customFormat="false" ht="23.85" hidden="false" customHeight="false" outlineLevel="0" collapsed="false">
      <c r="A8" s="21" t="s">
        <v>23</v>
      </c>
      <c r="B8" s="22" t="s">
        <v>24</v>
      </c>
      <c r="C8" s="17" t="s">
        <v>25</v>
      </c>
      <c r="D8" s="23" t="s">
        <v>26</v>
      </c>
      <c r="E8" s="24" t="s">
        <v>27</v>
      </c>
      <c r="G8" s="1"/>
      <c r="H8" s="1"/>
    </row>
    <row r="9" customFormat="false" ht="13.8" hidden="false" customHeight="false" outlineLevel="0" collapsed="false">
      <c r="A9" s="21" t="s">
        <v>28</v>
      </c>
      <c r="B9" s="18" t="s">
        <v>29</v>
      </c>
      <c r="C9" s="25" t="n">
        <v>1662.43</v>
      </c>
      <c r="D9" s="19" t="n">
        <v>30</v>
      </c>
      <c r="E9" s="26" t="n">
        <f aca="false">C9/D9</f>
        <v>55.4143333333333</v>
      </c>
    </row>
    <row r="10" customFormat="false" ht="13.8" hidden="false" customHeight="false" outlineLevel="0" collapsed="false">
      <c r="A10" s="21" t="s">
        <v>30</v>
      </c>
      <c r="B10" s="21" t="s">
        <v>31</v>
      </c>
      <c r="C10" s="27" t="n">
        <f aca="false">C9*D10</f>
        <v>1147.741672</v>
      </c>
      <c r="D10" s="28" t="n">
        <v>0.6904</v>
      </c>
      <c r="E10" s="29" t="n">
        <f aca="false">C10/D9</f>
        <v>38.2580557333333</v>
      </c>
      <c r="G10" s="1"/>
      <c r="H10" s="1"/>
    </row>
    <row r="11" customFormat="false" ht="13.8" hidden="false" customHeight="false" outlineLevel="0" collapsed="false">
      <c r="A11" s="21" t="s">
        <v>32</v>
      </c>
      <c r="B11" s="21" t="s">
        <v>33</v>
      </c>
      <c r="C11" s="30" t="n">
        <v>5280</v>
      </c>
      <c r="D11" s="31" t="n">
        <v>30</v>
      </c>
      <c r="E11" s="29" t="n">
        <f aca="false">C11/D11</f>
        <v>176</v>
      </c>
      <c r="G11" s="32"/>
      <c r="H11" s="1"/>
    </row>
    <row r="12" customFormat="false" ht="13.8" hidden="false" customHeight="false" outlineLevel="0" collapsed="false">
      <c r="A12" s="21"/>
      <c r="B12" s="21" t="s">
        <v>34</v>
      </c>
      <c r="C12" s="33" t="n">
        <f aca="false">C9+C10+C11</f>
        <v>8090.171672</v>
      </c>
      <c r="D12" s="31"/>
      <c r="E12" s="29"/>
      <c r="H12" s="1"/>
    </row>
    <row r="13" customFormat="false" ht="13.8" hidden="false" customHeight="false" outlineLevel="0" collapsed="false">
      <c r="A13" s="16"/>
      <c r="B13" s="22" t="s">
        <v>35</v>
      </c>
      <c r="D13" s="17"/>
      <c r="E13" s="34" t="n">
        <f aca="false">E9+E10+E11</f>
        <v>269.672389066667</v>
      </c>
      <c r="F13" s="35"/>
      <c r="G13" s="35"/>
      <c r="H13" s="35"/>
      <c r="I13" s="35"/>
      <c r="J13" s="35"/>
      <c r="K13" s="35"/>
      <c r="L13" s="35"/>
      <c r="M13" s="35"/>
      <c r="N13" s="35"/>
    </row>
    <row r="14" customFormat="false" ht="13.8" hidden="false" customHeight="false" outlineLevel="0" collapsed="false">
      <c r="A14" s="19" t="n">
        <v>2</v>
      </c>
      <c r="B14" s="22" t="s">
        <v>36</v>
      </c>
      <c r="C14" s="36" t="s">
        <v>37</v>
      </c>
      <c r="D14" s="17" t="s">
        <v>38</v>
      </c>
      <c r="E14" s="24" t="s">
        <v>27</v>
      </c>
      <c r="K14" s="1" t="s">
        <v>37</v>
      </c>
    </row>
    <row r="15" customFormat="false" ht="13.8" hidden="false" customHeight="false" outlineLevel="0" collapsed="false">
      <c r="A15" s="19" t="s">
        <v>39</v>
      </c>
      <c r="B15" s="18" t="s">
        <v>40</v>
      </c>
      <c r="C15" s="37" t="n">
        <f aca="false">ROUND((E13/D18),2)</f>
        <v>323.54</v>
      </c>
      <c r="D15" s="28" t="n">
        <v>0.0665</v>
      </c>
      <c r="E15" s="38" t="n">
        <f aca="false">C15*D15</f>
        <v>21.51541</v>
      </c>
    </row>
    <row r="16" customFormat="false" ht="13.8" hidden="false" customHeight="false" outlineLevel="0" collapsed="false">
      <c r="A16" s="19" t="s">
        <v>41</v>
      </c>
      <c r="B16" s="18" t="s">
        <v>42</v>
      </c>
      <c r="C16" s="39" t="n">
        <f aca="false">C15</f>
        <v>323.54</v>
      </c>
      <c r="D16" s="40" t="n">
        <v>0.1</v>
      </c>
      <c r="E16" s="41" t="n">
        <f aca="false">C16*D16</f>
        <v>32.354</v>
      </c>
    </row>
    <row r="17" customFormat="false" ht="13.8" hidden="false" customHeight="false" outlineLevel="0" collapsed="false">
      <c r="A17" s="19"/>
      <c r="B17" s="22" t="s">
        <v>43</v>
      </c>
      <c r="C17" s="42"/>
      <c r="D17" s="43" t="n">
        <f aca="false">SUM(D15:D16)</f>
        <v>0.1665</v>
      </c>
      <c r="E17" s="44" t="n">
        <f aca="false">SUM(E15:E16)</f>
        <v>53.86941</v>
      </c>
    </row>
    <row r="18" customFormat="false" ht="13.8" hidden="false" customHeight="false" outlineLevel="0" collapsed="false">
      <c r="A18" s="19"/>
      <c r="B18" s="22"/>
      <c r="C18" s="42"/>
      <c r="D18" s="28" t="n">
        <f aca="false">1-D17</f>
        <v>0.8335</v>
      </c>
      <c r="E18" s="38"/>
    </row>
    <row r="19" customFormat="false" ht="13.8" hidden="false" customHeight="false" outlineLevel="0" collapsed="false">
      <c r="A19" s="19"/>
      <c r="B19" s="22" t="s">
        <v>44</v>
      </c>
      <c r="C19" s="45" t="n">
        <f aca="false">E13+E17</f>
        <v>323.541799066667</v>
      </c>
      <c r="D19" s="19"/>
      <c r="E19" s="38"/>
      <c r="F19" s="1"/>
      <c r="G19" s="1"/>
      <c r="H19" s="1"/>
      <c r="K19" s="1"/>
      <c r="L19" s="1"/>
      <c r="M19" s="1"/>
      <c r="N19" s="1"/>
    </row>
    <row r="20" s="35" customFormat="true" ht="13.8" hidden="false" customHeight="false" outlineLevel="0" collapsed="false">
      <c r="A20" s="46"/>
      <c r="B20" s="47"/>
      <c r="C20" s="48"/>
      <c r="D20" s="49"/>
      <c r="E20" s="50"/>
      <c r="F20" s="1"/>
      <c r="G20" s="1"/>
      <c r="H20" s="1"/>
      <c r="I20" s="1"/>
      <c r="J20" s="1"/>
      <c r="K20" s="1"/>
      <c r="L20" s="1"/>
      <c r="M20" s="1"/>
      <c r="N20" s="1"/>
    </row>
    <row r="21" customFormat="false" ht="13.8" hidden="false" customHeight="false" outlineLevel="0" collapsed="false">
      <c r="A21" s="51"/>
      <c r="B21" s="52"/>
      <c r="C21" s="53"/>
      <c r="D21" s="46"/>
      <c r="E21" s="54" t="n">
        <v>45168</v>
      </c>
      <c r="I21" s="55"/>
      <c r="J21" s="55"/>
      <c r="K21" s="55"/>
    </row>
    <row r="22" customFormat="false" ht="13.8" hidden="false" customHeight="false" outlineLevel="0" collapsed="false">
      <c r="A22" s="51"/>
      <c r="B22" s="52"/>
      <c r="C22" s="53"/>
      <c r="D22" s="46"/>
      <c r="I22" s="56"/>
      <c r="J22" s="56"/>
      <c r="K22" s="56"/>
    </row>
    <row r="23" customFormat="false" ht="13.8" hidden="false" customHeight="false" outlineLevel="0" collapsed="false">
      <c r="A23" s="51"/>
      <c r="B23" s="52"/>
      <c r="C23" s="53"/>
      <c r="D23" s="46"/>
      <c r="I23" s="56"/>
      <c r="J23" s="56"/>
    </row>
    <row r="24" customFormat="false" ht="13.8" hidden="false" customHeight="false" outlineLevel="0" collapsed="false">
      <c r="A24" s="51"/>
      <c r="B24" s="52"/>
      <c r="C24" s="53"/>
      <c r="D24" s="46"/>
      <c r="I24" s="57"/>
      <c r="J24" s="58"/>
    </row>
    <row r="25" customFormat="false" ht="13.8" hidden="false" customHeight="false" outlineLevel="0" collapsed="false">
      <c r="B25" s="59"/>
      <c r="I25" s="56"/>
      <c r="J25" s="56"/>
      <c r="K25" s="56"/>
    </row>
    <row r="26" customFormat="false" ht="13.8" hidden="false" customHeight="false" outlineLevel="0" collapsed="false">
      <c r="B26" s="59"/>
      <c r="F26" s="1"/>
      <c r="G26" s="1"/>
      <c r="H26" s="1"/>
      <c r="I26" s="57"/>
      <c r="J26" s="60"/>
      <c r="K26" s="57"/>
      <c r="L26" s="1"/>
    </row>
    <row r="27" customFormat="false" ht="13.8" hidden="false" customHeight="false" outlineLevel="0" collapsed="false">
      <c r="I27" s="57"/>
      <c r="J27" s="57"/>
    </row>
    <row r="28" s="62" customFormat="true" ht="13.8" hidden="false" customHeight="false" outlineLevel="0" collapsed="false">
      <c r="A28" s="1"/>
      <c r="B28" s="1"/>
      <c r="C28" s="1"/>
      <c r="D28" s="1"/>
      <c r="E28" s="10"/>
      <c r="F28" s="1"/>
      <c r="G28" s="1"/>
      <c r="H28" s="1"/>
      <c r="I28" s="57"/>
      <c r="J28" s="61"/>
      <c r="K28" s="57"/>
      <c r="L28" s="1"/>
      <c r="M28" s="1"/>
      <c r="N28" s="1"/>
    </row>
    <row r="29" customFormat="false" ht="13.8" hidden="false" customHeight="false" outlineLevel="0" collapsed="false">
      <c r="I29" s="57"/>
      <c r="J29" s="58"/>
    </row>
    <row r="30" customFormat="false" ht="13.8" hidden="false" customHeight="false" outlineLevel="0" collapsed="false">
      <c r="J30" s="9"/>
    </row>
    <row r="31" customFormat="false" ht="13.8" hidden="false" customHeight="false" outlineLevel="0" collapsed="false">
      <c r="J31" s="9"/>
      <c r="M31" s="1" t="s">
        <v>45</v>
      </c>
    </row>
    <row r="32" customFormat="false" ht="13.8" hidden="false" customHeight="false" outlineLevel="0" collapsed="false">
      <c r="J32" s="9"/>
    </row>
    <row r="33" customFormat="false" ht="13.8" hidden="false" customHeight="false" outlineLevel="0" collapsed="false">
      <c r="J33" s="9"/>
    </row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B1:E1"/>
    <mergeCell ref="B2:E2"/>
    <mergeCell ref="B3:E3"/>
    <mergeCell ref="A5:E5"/>
    <mergeCell ref="I21:K21"/>
    <mergeCell ref="I22:K22"/>
    <mergeCell ref="I25:K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4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false" showOutlineSymbols="true" defaultGridColor="true" view="pageBreakPreview" topLeftCell="A44" colorId="64" zoomScale="100" zoomScaleNormal="100" zoomScalePageLayoutView="100" workbookViewId="0">
      <selection pane="topLeft" activeCell="C66" activeCellId="0" sqref="C66"/>
    </sheetView>
  </sheetViews>
  <sheetFormatPr defaultColWidth="11.54296875" defaultRowHeight="13.8" zeroHeight="false" outlineLevelRow="0" outlineLevelCol="0"/>
  <cols>
    <col collapsed="false" customWidth="true" hidden="false" outlineLevel="0" max="2" min="2" style="1" width="23.22"/>
    <col collapsed="false" customWidth="false" hidden="false" outlineLevel="0" max="1024" min="13" style="1" width="11.53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 t="s">
        <v>46</v>
      </c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35.0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9.4" hidden="false" customHeight="true" outlineLevel="0" collapsed="false">
      <c r="A6" s="64" t="s">
        <v>48</v>
      </c>
      <c r="B6" s="64"/>
      <c r="C6" s="64"/>
      <c r="D6" s="64"/>
      <c r="E6" s="63" t="n">
        <v>0</v>
      </c>
    </row>
    <row r="7" customFormat="false" ht="23.85" hidden="false" customHeight="false" outlineLevel="0" collapsed="false">
      <c r="A7" s="64" t="s">
        <v>49</v>
      </c>
      <c r="B7" s="64"/>
      <c r="C7" s="65" t="s">
        <v>50</v>
      </c>
      <c r="D7" s="66" t="s">
        <v>51</v>
      </c>
      <c r="E7" s="67" t="s">
        <v>52</v>
      </c>
    </row>
    <row r="8" customFormat="false" ht="13.8" hidden="false" customHeight="false" outlineLevel="0" collapsed="false">
      <c r="A8" s="64"/>
      <c r="B8" s="64"/>
      <c r="C8" s="68" t="n">
        <f aca="false">216+E6</f>
        <v>216</v>
      </c>
      <c r="D8" s="68" t="n">
        <v>21</v>
      </c>
      <c r="E8" s="69" t="n">
        <v>252</v>
      </c>
      <c r="G8" s="1"/>
    </row>
    <row r="9" customFormat="false" ht="13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s="1" customFormat="true" ht="13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3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3.8" hidden="false" customHeight="false" outlineLevel="0" collapsed="false">
      <c r="A12" s="19" t="s">
        <v>58</v>
      </c>
      <c r="B12" s="18" t="s">
        <v>59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3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3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  <c r="F14" s="1"/>
    </row>
    <row r="15" customFormat="false" ht="13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  <c r="F15" s="1" t="s">
        <v>37</v>
      </c>
    </row>
    <row r="16" customFormat="false" ht="13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3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3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3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3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  <c r="F20" s="35"/>
      <c r="G20" s="35"/>
      <c r="H20" s="35"/>
      <c r="I20" s="35"/>
      <c r="J20" s="35"/>
      <c r="K20" s="35"/>
      <c r="L20" s="35"/>
    </row>
    <row r="21" s="35" customFormat="true" ht="13.8" hidden="false" customHeight="false" outlineLevel="0" collapsed="false">
      <c r="A21" s="19" t="s">
        <v>75</v>
      </c>
      <c r="B21" s="22" t="s">
        <v>76</v>
      </c>
      <c r="C21" s="80"/>
      <c r="D21" s="19"/>
      <c r="E21" s="20"/>
      <c r="F21" s="1"/>
      <c r="G21" s="1"/>
      <c r="H21" s="1"/>
      <c r="I21" s="1"/>
      <c r="J21" s="1"/>
      <c r="K21" s="1"/>
      <c r="L21" s="1"/>
    </row>
    <row r="22" customFormat="false" ht="13.8" hidden="false" customHeight="false" outlineLevel="0" collapsed="false">
      <c r="A22" s="19" t="s">
        <v>39</v>
      </c>
      <c r="B22" s="21" t="s">
        <v>77</v>
      </c>
      <c r="C22" s="80" t="n">
        <f aca="false">(C8*2)+(E6*2)</f>
        <v>432</v>
      </c>
      <c r="D22" s="19"/>
      <c r="E22" s="20"/>
      <c r="G22" s="1"/>
    </row>
    <row r="23" customFormat="false" ht="13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3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  <c r="G24" s="1"/>
    </row>
    <row r="25" s="1" customFormat="true" ht="13.8" hidden="false" customHeight="false" outlineLevel="0" collapsed="false">
      <c r="A25" s="19"/>
      <c r="B25" s="16" t="s">
        <v>81</v>
      </c>
      <c r="C25" s="82" t="n">
        <f aca="false">(C24)*(C22/C23)</f>
        <v>195.729230769231</v>
      </c>
      <c r="D25" s="19"/>
      <c r="E25" s="20" t="n">
        <f aca="false">C25</f>
        <v>195.729230769231</v>
      </c>
    </row>
    <row r="26" s="1" customFormat="true" ht="13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3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3.8" hidden="false" customHeight="false" outlineLevel="0" collapsed="false">
      <c r="A28" s="19" t="s">
        <v>86</v>
      </c>
      <c r="B28" s="18" t="s">
        <v>87</v>
      </c>
      <c r="C28" s="27" t="n">
        <f aca="false">C25</f>
        <v>195.729230769231</v>
      </c>
      <c r="D28" s="27"/>
      <c r="E28" s="20"/>
    </row>
    <row r="29" s="1" customFormat="true" ht="13.8" hidden="false" customHeight="false" outlineLevel="0" collapsed="false">
      <c r="A29" s="19"/>
      <c r="B29" s="22" t="s">
        <v>88</v>
      </c>
      <c r="C29" s="36" t="n">
        <f aca="false">C28*C27</f>
        <v>11.7437538461538</v>
      </c>
      <c r="D29" s="27"/>
      <c r="E29" s="20" t="n">
        <f aca="false">C29</f>
        <v>11.7437538461538</v>
      </c>
    </row>
    <row r="30" s="1" customFormat="true" ht="13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3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3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3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3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  <c r="F35" s="14"/>
    </row>
    <row r="36" s="1" customFormat="true" ht="13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  <c r="F36" s="14" t="s">
        <v>37</v>
      </c>
    </row>
    <row r="37" s="1" customFormat="true" ht="13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3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3.8" hidden="false" customHeight="false" outlineLevel="0" collapsed="false">
      <c r="A39" s="19" t="s">
        <v>106</v>
      </c>
      <c r="B39" s="18" t="s">
        <v>107</v>
      </c>
      <c r="C39" s="80" t="n">
        <f aca="false">C25</f>
        <v>195.729230769231</v>
      </c>
      <c r="D39" s="19"/>
      <c r="E39" s="20"/>
    </row>
    <row r="40" s="1" customFormat="true" ht="13.8" hidden="false" customHeight="false" outlineLevel="0" collapsed="false">
      <c r="A40" s="19"/>
      <c r="B40" s="22" t="s">
        <v>88</v>
      </c>
      <c r="C40" s="36" t="n">
        <f aca="false">C39*C38</f>
        <v>144.839630769231</v>
      </c>
      <c r="D40" s="27"/>
      <c r="E40" s="20" t="n">
        <f aca="false">C40</f>
        <v>144.839630769231</v>
      </c>
    </row>
    <row r="41" s="1" customFormat="true" ht="13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s="1" customFormat="true" ht="13.8" hidden="false" customHeight="false" outlineLevel="0" collapsed="false">
      <c r="A42" s="19" t="s">
        <v>110</v>
      </c>
      <c r="B42" s="18" t="s">
        <v>111</v>
      </c>
      <c r="C42" s="80" t="n">
        <f aca="false">'Valor Serviço'!C12</f>
        <v>8090.171672</v>
      </c>
      <c r="D42" s="19"/>
      <c r="E42" s="20"/>
    </row>
    <row r="43" s="1" customFormat="true" ht="13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3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  <c r="F44" s="14"/>
      <c r="G44" s="14"/>
      <c r="H44" s="14"/>
      <c r="I44" s="14"/>
      <c r="J44" s="14"/>
      <c r="K44" s="14"/>
      <c r="L44" s="14"/>
    </row>
    <row r="45" s="1" customFormat="true" ht="13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3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3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s="1" customFormat="true" ht="13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</row>
    <row r="49" s="1" customFormat="true" ht="13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3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s="1" customFormat="true" ht="13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s="1" customFormat="true" ht="13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3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s="1" customFormat="true" ht="13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3.8" hidden="false" customHeight="false" outlineLevel="0" collapsed="false">
      <c r="A56" s="17"/>
      <c r="B56" s="22" t="s">
        <v>131</v>
      </c>
      <c r="C56" s="36"/>
      <c r="D56" s="17"/>
      <c r="E56" s="24" t="n">
        <f aca="false">E20+E25+E29+E36+E40+E44+E48+E55</f>
        <v>488.512880188002</v>
      </c>
      <c r="F56" s="35"/>
      <c r="G56" s="35"/>
      <c r="H56" s="35"/>
      <c r="I56" s="35"/>
      <c r="J56" s="35"/>
      <c r="K56" s="35"/>
      <c r="L56" s="35"/>
    </row>
    <row r="57" customFormat="false" ht="13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3.8" hidden="false" customHeight="false" outlineLevel="0" collapsed="false">
      <c r="A58" s="19" t="s">
        <v>133</v>
      </c>
      <c r="B58" s="18" t="s">
        <v>134</v>
      </c>
      <c r="C58" s="37" t="n">
        <f aca="false">ROUND((E56/D61),2)</f>
        <v>586.1</v>
      </c>
      <c r="D58" s="28" t="n">
        <v>0.0665</v>
      </c>
      <c r="E58" s="38" t="n">
        <f aca="false">C58*D58</f>
        <v>38.97565</v>
      </c>
    </row>
    <row r="59" customFormat="false" ht="13.8" hidden="false" customHeight="false" outlineLevel="0" collapsed="false">
      <c r="A59" s="19" t="s">
        <v>135</v>
      </c>
      <c r="B59" s="18" t="s">
        <v>42</v>
      </c>
      <c r="C59" s="39" t="n">
        <f aca="false">C58</f>
        <v>586.1</v>
      </c>
      <c r="D59" s="40" t="n">
        <v>0.1</v>
      </c>
      <c r="E59" s="41" t="n">
        <f aca="false">C59*D59</f>
        <v>58.61</v>
      </c>
    </row>
    <row r="60" customFormat="false" ht="13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97.58565</v>
      </c>
    </row>
    <row r="61" customFormat="false" ht="13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s">
        <v>136</v>
      </c>
      <c r="B62" s="16" t="s">
        <v>137</v>
      </c>
      <c r="C62" s="45" t="n">
        <f aca="false">E60+E56</f>
        <v>586.098530188002</v>
      </c>
      <c r="D62" s="19"/>
      <c r="E62" s="38"/>
    </row>
    <row r="63" s="1" customFormat="true" ht="13.8" hidden="false" customHeight="false" outlineLevel="0" collapsed="false">
      <c r="A63" s="64" t="s">
        <v>138</v>
      </c>
      <c r="B63" s="90" t="s">
        <v>139</v>
      </c>
      <c r="C63" s="93" t="n">
        <f aca="false">'Valor Serviço'!C19</f>
        <v>323.541799066667</v>
      </c>
      <c r="D63" s="94"/>
      <c r="E63" s="95"/>
    </row>
    <row r="64" customFormat="false" ht="13.8" hidden="false" customHeight="false" outlineLevel="0" collapsed="false">
      <c r="A64" s="96"/>
      <c r="B64" s="97" t="s">
        <v>140</v>
      </c>
      <c r="C64" s="98" t="n">
        <f aca="false">C62+C63</f>
        <v>909.640329254668</v>
      </c>
      <c r="D64" s="64"/>
      <c r="E64" s="99"/>
    </row>
    <row r="65" customFormat="false" ht="13.8" hidden="false" customHeight="false" outlineLevel="0" collapsed="false">
      <c r="A65" s="51"/>
      <c r="B65" s="52"/>
      <c r="C65" s="53"/>
      <c r="D65" s="46"/>
      <c r="E65" s="10"/>
    </row>
    <row r="66" customFormat="false" ht="13.8" hidden="false" customHeight="false" outlineLevel="0" collapsed="false">
      <c r="C66" s="53"/>
      <c r="D66" s="1"/>
      <c r="E66" s="10"/>
      <c r="H66" s="1" t="s">
        <v>37</v>
      </c>
    </row>
    <row r="67" customFormat="false" ht="13.8" hidden="false" customHeight="false" outlineLevel="0" collapsed="false">
      <c r="A67" s="51"/>
      <c r="B67" s="52"/>
      <c r="C67" s="53"/>
      <c r="D67" s="1"/>
      <c r="E67" s="10"/>
      <c r="G67" s="1" t="s">
        <v>37</v>
      </c>
      <c r="H67" s="1" t="s">
        <v>37</v>
      </c>
    </row>
    <row r="68" customFormat="false" ht="13.8" hidden="false" customHeight="false" outlineLevel="0" collapsed="false">
      <c r="A68" s="51"/>
      <c r="B68" s="52"/>
      <c r="C68" s="53"/>
      <c r="D68" s="46"/>
      <c r="E68" s="50"/>
      <c r="I68" s="1" t="s">
        <v>37</v>
      </c>
    </row>
    <row r="69" customFormat="false" ht="13.8" hidden="false" customHeight="false" outlineLevel="0" collapsed="false">
      <c r="A69" s="51"/>
      <c r="B69" s="52"/>
      <c r="C69" s="53"/>
      <c r="D69" s="46"/>
      <c r="E69" s="10"/>
    </row>
    <row r="70" customFormat="false" ht="13.8" hidden="false" customHeight="false" outlineLevel="0" collapsed="false">
      <c r="A70" s="1"/>
      <c r="C70" s="1"/>
      <c r="D70" s="1"/>
      <c r="E70" s="10"/>
    </row>
    <row r="71" customFormat="false" ht="13.8" hidden="false" customHeight="false" outlineLevel="0" collapsed="false">
      <c r="A71" s="1"/>
      <c r="C71" s="1"/>
      <c r="D71" s="1"/>
      <c r="E71" s="10"/>
    </row>
    <row r="72" s="1" customFormat="true" ht="13.8" hidden="false" customHeight="false" outlineLevel="0" collapsed="false">
      <c r="E72" s="10"/>
    </row>
    <row r="73" customFormat="false" ht="13.8" hidden="false" customHeight="false" outlineLevel="0" collapsed="false">
      <c r="A73" s="1"/>
      <c r="C73" s="1"/>
      <c r="D73" s="1"/>
      <c r="E73" s="10"/>
    </row>
    <row r="74" customFormat="false" ht="13.8" hidden="false" customHeight="false" outlineLevel="0" collapsed="false">
      <c r="A74" s="1"/>
      <c r="C74" s="1"/>
      <c r="D74" s="1"/>
      <c r="E74" s="10"/>
    </row>
    <row r="75" customFormat="false" ht="13.8" hidden="false" customHeight="false" outlineLevel="0" collapsed="false">
      <c r="A75" s="1"/>
      <c r="C75" s="1"/>
      <c r="D75" s="1"/>
      <c r="E75" s="10"/>
    </row>
    <row r="76" customFormat="false" ht="13.8" hidden="false" customHeight="false" outlineLevel="0" collapsed="false">
      <c r="A76" s="1"/>
      <c r="C76" s="1"/>
      <c r="D76" s="1"/>
      <c r="E76" s="10"/>
    </row>
    <row r="77" customFormat="false" ht="13.8" hidden="false" customHeight="false" outlineLevel="0" collapsed="false">
      <c r="A77" s="1"/>
      <c r="C77" s="1"/>
      <c r="D77" s="1"/>
      <c r="E77" s="10"/>
    </row>
    <row r="78" customFormat="false" ht="13.8" hidden="false" customHeight="false" outlineLevel="0" collapsed="false">
      <c r="A78" s="1"/>
      <c r="C78" s="1"/>
      <c r="D78" s="1"/>
      <c r="E78" s="10"/>
    </row>
    <row r="79" customFormat="false" ht="13.8" hidden="false" customHeight="false" outlineLevel="0" collapsed="false">
      <c r="A79" s="1"/>
      <c r="C79" s="1"/>
      <c r="D79" s="1"/>
      <c r="E79" s="10"/>
    </row>
    <row r="80" customFormat="false" ht="13.8" hidden="false" customHeight="false" outlineLevel="0" collapsed="false">
      <c r="A80" s="1"/>
      <c r="C80" s="1"/>
      <c r="D80" s="1"/>
      <c r="E80" s="10"/>
    </row>
    <row r="81" customFormat="false" ht="13.8" hidden="false" customHeight="false" outlineLevel="0" collapsed="false">
      <c r="A81" s="1"/>
      <c r="C81" s="1"/>
      <c r="D81" s="1"/>
      <c r="E81" s="10"/>
    </row>
    <row r="82" customFormat="false" ht="13.8" hidden="false" customHeight="false" outlineLevel="0" collapsed="false">
      <c r="A82" s="1"/>
      <c r="C82" s="1"/>
      <c r="D82" s="1"/>
      <c r="E82" s="10"/>
    </row>
    <row r="83" customFormat="false" ht="13.8" hidden="false" customHeight="false" outlineLevel="0" collapsed="false">
      <c r="A83" s="1"/>
      <c r="C83" s="1"/>
      <c r="D83" s="1"/>
      <c r="E83" s="10"/>
    </row>
    <row r="84" customFormat="false" ht="13.8" hidden="false" customHeight="false" outlineLevel="0" collapsed="false">
      <c r="A84" s="1"/>
      <c r="C84" s="1"/>
      <c r="D84" s="1"/>
      <c r="E84" s="10"/>
    </row>
    <row r="85" customFormat="false" ht="13.8" hidden="false" customHeight="false" outlineLevel="0" collapsed="false">
      <c r="A85" s="1"/>
      <c r="C85" s="1"/>
      <c r="D85" s="1"/>
      <c r="E85" s="10"/>
    </row>
    <row r="86" customFormat="false" ht="13.8" hidden="false" customHeight="false" outlineLevel="0" collapsed="false">
      <c r="A86" s="1"/>
      <c r="C86" s="1"/>
      <c r="D86" s="1"/>
      <c r="E86" s="10"/>
    </row>
    <row r="87" customFormat="false" ht="13.8" hidden="false" customHeight="false" outlineLevel="0" collapsed="false">
      <c r="A87" s="1"/>
      <c r="C87" s="1"/>
      <c r="D87" s="1"/>
      <c r="E87" s="10"/>
    </row>
    <row r="88" customFormat="false" ht="13.8" hidden="false" customHeight="false" outlineLevel="0" collapsed="false">
      <c r="A88" s="1"/>
      <c r="C88" s="1"/>
      <c r="D88" s="1"/>
      <c r="E88" s="10"/>
    </row>
    <row r="89" customFormat="false" ht="13.8" hidden="false" customHeight="false" outlineLevel="0" collapsed="false">
      <c r="A89" s="1"/>
      <c r="C89" s="1"/>
      <c r="D89" s="1"/>
      <c r="E89" s="10"/>
    </row>
    <row r="90" customFormat="false" ht="13.8" hidden="false" customHeight="false" outlineLevel="0" collapsed="false">
      <c r="A90" s="1"/>
      <c r="C90" s="1"/>
      <c r="D90" s="1"/>
      <c r="E90" s="10"/>
    </row>
    <row r="91" customFormat="false" ht="13.8" hidden="false" customHeight="false" outlineLevel="0" collapsed="false">
      <c r="A91" s="1"/>
      <c r="C91" s="1"/>
      <c r="D91" s="1"/>
      <c r="E91" s="10"/>
    </row>
    <row r="92" customFormat="false" ht="13.8" hidden="false" customHeight="false" outlineLevel="0" collapsed="false">
      <c r="A92" s="1"/>
      <c r="C92" s="1"/>
      <c r="D92" s="1"/>
      <c r="E92" s="10"/>
    </row>
    <row r="93" customFormat="false" ht="13.8" hidden="false" customHeight="false" outlineLevel="0" collapsed="false">
      <c r="A93" s="1"/>
      <c r="C93" s="1"/>
      <c r="D93" s="1"/>
      <c r="E93" s="1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64"/>
  <sheetViews>
    <sheetView showFormulas="false" showGridLines="tru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B46" activeCellId="0" sqref="B46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8.38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23.85" hidden="false" customHeight="true" outlineLevel="0" collapsed="false">
      <c r="A5" s="100" t="s">
        <v>47</v>
      </c>
      <c r="B5" s="100"/>
      <c r="C5" s="100"/>
      <c r="D5" s="100"/>
      <c r="E5" s="100"/>
    </row>
    <row r="6" customFormat="false" ht="20.85" hidden="false" customHeight="true" outlineLevel="0" collapsed="false">
      <c r="A6" s="64" t="s">
        <v>141</v>
      </c>
      <c r="B6" s="64"/>
      <c r="C6" s="64"/>
      <c r="D6" s="64"/>
      <c r="E6" s="100" t="n">
        <v>40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512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5.4075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212.972307692308</v>
      </c>
      <c r="D25" s="19"/>
      <c r="E25" s="20" t="n">
        <f aca="false">C25</f>
        <v>212.972307692308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212.972307692308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12.7783384615385</v>
      </c>
      <c r="D29" s="27"/>
      <c r="E29" s="20" t="n">
        <f aca="false">C29</f>
        <v>12.7783384615385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212.972307692308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157.599507692308</v>
      </c>
      <c r="D40" s="27"/>
      <c r="E40" s="20" t="n">
        <f aca="false">C40</f>
        <v>157.599507692308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2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customFormat="false" ht="12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  <c r="G48" s="1" t="s">
        <v>37</v>
      </c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143</v>
      </c>
      <c r="C56" s="36"/>
      <c r="D56" s="17"/>
      <c r="E56" s="24" t="n">
        <f aca="false">E20+E25+E29+E36+E40+E44+E48+E55</f>
        <v>519.55041864954</v>
      </c>
    </row>
    <row r="57" customFormat="false" ht="13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623.34</v>
      </c>
      <c r="D58" s="28" t="n">
        <v>0.0665</v>
      </c>
      <c r="E58" s="38" t="n">
        <f aca="false">C58*D58</f>
        <v>41.45211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623.34</v>
      </c>
      <c r="D59" s="40" t="n">
        <v>0.1</v>
      </c>
      <c r="E59" s="41" t="n">
        <f aca="false">C59*D59</f>
        <v>62.334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103.78611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22" t="s">
        <v>144</v>
      </c>
      <c r="C62" s="45" t="n">
        <f aca="false">E60+E56</f>
        <v>623.33652864954</v>
      </c>
      <c r="D62" s="19"/>
      <c r="E62" s="38"/>
    </row>
    <row r="63" customFormat="false" ht="13.8" hidden="false" customHeight="false" outlineLevel="0" collapsed="false">
      <c r="A63" s="64" t="n">
        <v>11</v>
      </c>
      <c r="B63" s="90" t="s">
        <v>145</v>
      </c>
      <c r="C63" s="104" t="n">
        <f aca="false">'Valor Serviço'!C19</f>
        <v>323.541799066667</v>
      </c>
      <c r="D63" s="8"/>
      <c r="E63" s="8"/>
    </row>
    <row r="64" customFormat="false" ht="13.8" hidden="false" customHeight="false" outlineLevel="0" collapsed="false">
      <c r="A64" s="96"/>
      <c r="B64" s="97" t="s">
        <v>140</v>
      </c>
      <c r="C64" s="104" t="n">
        <f aca="false">C62+C63</f>
        <v>946.878327716207</v>
      </c>
      <c r="D64" s="8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4"/>
  <sheetViews>
    <sheetView showFormulas="false" showGridLines="true" showRowColHeaders="true" showZeros="true" rightToLeft="false" tabSelected="false" showOutlineSymbols="true" defaultGridColor="true" view="pageBreakPreview" topLeftCell="A43" colorId="64" zoomScale="100" zoomScaleNormal="100" zoomScalePageLayoutView="100" workbookViewId="0">
      <selection pane="topLeft" activeCell="B46" activeCellId="0" sqref="B46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5.17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23.8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2.8" hidden="false" customHeight="false" outlineLevel="0" collapsed="false">
      <c r="A6" s="64" t="s">
        <v>146</v>
      </c>
      <c r="B6" s="64"/>
      <c r="C6" s="64"/>
      <c r="D6" s="64"/>
      <c r="E6" s="100" t="n">
        <v>100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632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286.344615384615</v>
      </c>
      <c r="D25" s="19"/>
      <c r="E25" s="20" t="n">
        <f aca="false">C25</f>
        <v>286.344615384615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286.344615384615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17.1806769230769</v>
      </c>
      <c r="D29" s="27"/>
      <c r="E29" s="20" t="n">
        <f aca="false">C29</f>
        <v>17.1806769230769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286.344615384615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211.895015384615</v>
      </c>
      <c r="D40" s="27"/>
      <c r="E40" s="20" t="n">
        <f aca="false">C40</f>
        <v>211.895015384615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3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customFormat="false" ht="12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131</v>
      </c>
      <c r="C56" s="36"/>
      <c r="D56" s="17"/>
      <c r="E56" s="24" t="n">
        <f aca="false">E20+E25+E29+E36+E40+E44+E48+E55</f>
        <v>651.620572495694</v>
      </c>
    </row>
    <row r="57" customFormat="false" ht="12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781.79</v>
      </c>
      <c r="D58" s="28" t="n">
        <v>0.0665</v>
      </c>
      <c r="E58" s="38" t="n">
        <f aca="false">C58*D58</f>
        <v>51.989035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781.79</v>
      </c>
      <c r="D59" s="40" t="n">
        <v>0.1</v>
      </c>
      <c r="E59" s="41" t="n">
        <f aca="false">C59*D59</f>
        <v>78.179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130.168035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16" t="s">
        <v>144</v>
      </c>
      <c r="C62" s="42" t="n">
        <f aca="false">E60+E56</f>
        <v>781.788607495694</v>
      </c>
      <c r="D62" s="19"/>
      <c r="E62" s="38"/>
    </row>
    <row r="63" customFormat="false" ht="13.8" hidden="false" customHeight="false" outlineLevel="0" collapsed="false">
      <c r="A63" s="64" t="n">
        <v>11</v>
      </c>
      <c r="B63" s="105" t="s">
        <v>145</v>
      </c>
      <c r="C63" s="104" t="n">
        <f aca="false">'Valor Serviço'!C19</f>
        <v>323.541799066667</v>
      </c>
      <c r="D63" s="8"/>
      <c r="E63" s="8"/>
    </row>
    <row r="64" customFormat="false" ht="13.8" hidden="false" customHeight="false" outlineLevel="0" collapsed="false">
      <c r="A64" s="96"/>
      <c r="B64" s="105" t="s">
        <v>140</v>
      </c>
      <c r="C64" s="104" t="n">
        <f aca="false">C62+C63</f>
        <v>1105.33040656236</v>
      </c>
      <c r="D64" s="8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4"/>
  <sheetViews>
    <sheetView showFormulas="false" showGridLines="tru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L15" activeCellId="0" sqref="L15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2.24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38.0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2.8" hidden="false" customHeight="false" outlineLevel="0" collapsed="false">
      <c r="A6" s="64" t="s">
        <v>147</v>
      </c>
      <c r="B6" s="64"/>
      <c r="C6" s="64"/>
      <c r="D6" s="64"/>
      <c r="E6" s="100" t="n">
        <v>30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492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222.913846153846</v>
      </c>
      <c r="D25" s="19"/>
      <c r="E25" s="20" t="n">
        <f aca="false">C25</f>
        <v>222.913846153846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222.913846153846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13.3748307692308</v>
      </c>
      <c r="D29" s="27"/>
      <c r="E29" s="20" t="n">
        <f aca="false">C29</f>
        <v>13.3748307692308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222.913846153846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164.956246153846</v>
      </c>
      <c r="D40" s="27"/>
      <c r="E40" s="20" t="n">
        <f aca="false">C40</f>
        <v>164.956246153846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3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customFormat="false" ht="12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131</v>
      </c>
      <c r="C56" s="36"/>
      <c r="D56" s="17"/>
      <c r="E56" s="24" t="n">
        <f aca="false">E20+E25+E29+E36+E40+E44+E48+E55</f>
        <v>537.445187880309</v>
      </c>
    </row>
    <row r="57" customFormat="false" ht="12.8" hidden="false" customHeight="false" outlineLevel="0" collapsed="false">
      <c r="A57" s="19" t="n">
        <v>9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644.81</v>
      </c>
      <c r="D58" s="28" t="n">
        <v>0.0665</v>
      </c>
      <c r="E58" s="38" t="n">
        <f aca="false">C58*D58</f>
        <v>42.879865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644.81</v>
      </c>
      <c r="D59" s="40" t="n">
        <v>0.1</v>
      </c>
      <c r="E59" s="41" t="n">
        <f aca="false">C59*D59</f>
        <v>64.481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107.360865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22" t="s">
        <v>144</v>
      </c>
      <c r="C62" s="42" t="n">
        <f aca="false">E60+E56</f>
        <v>644.806052880309</v>
      </c>
      <c r="D62" s="19"/>
      <c r="E62" s="38"/>
    </row>
    <row r="63" customFormat="false" ht="13.8" hidden="false" customHeight="false" outlineLevel="0" collapsed="false">
      <c r="A63" s="64" t="n">
        <v>11</v>
      </c>
      <c r="B63" s="90" t="s">
        <v>145</v>
      </c>
      <c r="C63" s="106" t="n">
        <f aca="false">'Valor Serviço'!C19</f>
        <v>323.541799066667</v>
      </c>
      <c r="D63" s="8"/>
      <c r="E63" s="8"/>
    </row>
    <row r="64" customFormat="false" ht="13.8" hidden="false" customHeight="false" outlineLevel="0" collapsed="false">
      <c r="A64" s="96"/>
      <c r="B64" s="97" t="s">
        <v>140</v>
      </c>
      <c r="C64" s="106" t="n">
        <f aca="false">C62+C63</f>
        <v>968.347851946976</v>
      </c>
      <c r="D64" s="8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4"/>
  <sheetViews>
    <sheetView showFormulas="false" showGridLines="true" showRowColHeaders="true" showZeros="true" rightToLeft="false" tabSelected="false" showOutlineSymbols="true" defaultGridColor="true" view="pageBreakPreview" topLeftCell="A46" colorId="64" zoomScale="100" zoomScaleNormal="100" zoomScalePageLayoutView="100" workbookViewId="0">
      <selection pane="topLeft" activeCell="B35" activeCellId="0" sqref="B35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4.76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23.8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2.8" hidden="false" customHeight="false" outlineLevel="0" collapsed="false">
      <c r="A6" s="64" t="s">
        <v>148</v>
      </c>
      <c r="B6" s="64"/>
      <c r="C6" s="64"/>
      <c r="D6" s="64"/>
      <c r="E6" s="100" t="n">
        <v>15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462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209.321538461538</v>
      </c>
      <c r="D25" s="19"/>
      <c r="E25" s="20" t="n">
        <f aca="false">C25</f>
        <v>209.321538461538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209.321538461538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12.5592923076923</v>
      </c>
      <c r="D29" s="27"/>
      <c r="E29" s="20" t="n">
        <f aca="false">C29</f>
        <v>12.5592923076923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209.321538461538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154.897938461538</v>
      </c>
      <c r="D40" s="27"/>
      <c r="E40" s="20" t="n">
        <f aca="false">C40</f>
        <v>154.897938461538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2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s="107" customFormat="true" ht="13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  <c r="F48" s="1"/>
      <c r="G48" s="1"/>
      <c r="H48" s="1"/>
      <c r="I48" s="1"/>
      <c r="J48" s="1"/>
      <c r="K48" s="1"/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131</v>
      </c>
      <c r="C56" s="36"/>
      <c r="D56" s="17"/>
      <c r="E56" s="24" t="n">
        <f aca="false">E20+E25+E29+E36+E40+E44+E48+E55</f>
        <v>512.979034034156</v>
      </c>
    </row>
    <row r="57" customFormat="false" ht="12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615.45</v>
      </c>
      <c r="D58" s="28" t="n">
        <v>0.0665</v>
      </c>
      <c r="E58" s="38" t="n">
        <f aca="false">C58*D58</f>
        <v>40.927425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615.45</v>
      </c>
      <c r="D59" s="40" t="n">
        <v>0.1</v>
      </c>
      <c r="E59" s="41" t="n">
        <f aca="false">C59*D59</f>
        <v>61.545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102.472425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22" t="s">
        <v>144</v>
      </c>
      <c r="C62" s="42" t="n">
        <f aca="false">E60+E56</f>
        <v>615.451459034156</v>
      </c>
      <c r="D62" s="19"/>
      <c r="E62" s="38"/>
    </row>
    <row r="63" customFormat="false" ht="13.8" hidden="false" customHeight="false" outlineLevel="0" collapsed="false">
      <c r="A63" s="64" t="n">
        <v>11</v>
      </c>
      <c r="B63" s="90" t="s">
        <v>145</v>
      </c>
      <c r="C63" s="106" t="n">
        <f aca="false">'Valor Serviço'!C19</f>
        <v>323.541799066667</v>
      </c>
      <c r="D63" s="106"/>
      <c r="E63" s="8"/>
    </row>
    <row r="64" customFormat="false" ht="13.8" hidden="false" customHeight="false" outlineLevel="0" collapsed="false">
      <c r="A64" s="96"/>
      <c r="B64" s="97" t="s">
        <v>140</v>
      </c>
      <c r="C64" s="106" t="n">
        <f aca="false">C62+C63</f>
        <v>938.993258100822</v>
      </c>
      <c r="D64" s="106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4"/>
  <sheetViews>
    <sheetView showFormulas="false" showGridLines="true" showRowColHeaders="true" showZeros="true" rightToLeft="false" tabSelected="false" showOutlineSymbols="true" defaultGridColor="true" view="pageBreakPreview" topLeftCell="A43" colorId="64" zoomScale="100" zoomScaleNormal="100" zoomScalePageLayoutView="100" workbookViewId="0">
      <selection pane="topLeft" activeCell="B46" activeCellId="0" sqref="B46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4.47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23.8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2.8" hidden="false" customHeight="false" outlineLevel="0" collapsed="false">
      <c r="A6" s="64" t="s">
        <v>149</v>
      </c>
      <c r="B6" s="64"/>
      <c r="C6" s="64"/>
      <c r="D6" s="64"/>
      <c r="E6" s="100" t="n">
        <v>60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552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250.098461538462</v>
      </c>
      <c r="D25" s="19"/>
      <c r="E25" s="20" t="n">
        <f aca="false">C25</f>
        <v>250.098461538462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250.098461538462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15.0059076923077</v>
      </c>
      <c r="D29" s="27"/>
      <c r="E29" s="20" t="n">
        <f aca="false">C29</f>
        <v>15.0059076923077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250.098461538462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185.072861538462</v>
      </c>
      <c r="D40" s="27"/>
      <c r="E40" s="20" t="n">
        <f aca="false">C40</f>
        <v>185.072861538462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3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customFormat="false" ht="12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143</v>
      </c>
      <c r="C56" s="36"/>
      <c r="D56" s="17"/>
      <c r="E56" s="24" t="n">
        <f aca="false">E20+E25+E29+E36+E40+E44+E48+E55</f>
        <v>586.377495572617</v>
      </c>
    </row>
    <row r="57" customFormat="false" ht="12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703.51</v>
      </c>
      <c r="D58" s="28" t="n">
        <v>0.0665</v>
      </c>
      <c r="E58" s="38" t="n">
        <f aca="false">C58*D58</f>
        <v>46.783415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703.51</v>
      </c>
      <c r="D59" s="40" t="n">
        <v>0.1</v>
      </c>
      <c r="E59" s="41" t="n">
        <f aca="false">C59*D59</f>
        <v>70.351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117.134415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22" t="s">
        <v>150</v>
      </c>
      <c r="C62" s="42" t="n">
        <f aca="false">E60+E56</f>
        <v>703.511910572617</v>
      </c>
      <c r="D62" s="19"/>
      <c r="E62" s="38"/>
    </row>
    <row r="63" customFormat="false" ht="13.8" hidden="false" customHeight="false" outlineLevel="0" collapsed="false">
      <c r="A63" s="64" t="n">
        <v>11</v>
      </c>
      <c r="B63" s="90" t="s">
        <v>145</v>
      </c>
      <c r="C63" s="106" t="n">
        <f aca="false">'Valor Serviço'!C19</f>
        <v>323.541799066667</v>
      </c>
      <c r="D63" s="8"/>
      <c r="E63" s="8"/>
    </row>
    <row r="64" customFormat="false" ht="13.8" hidden="false" customHeight="false" outlineLevel="0" collapsed="false">
      <c r="A64" s="96"/>
      <c r="B64" s="97" t="s">
        <v>140</v>
      </c>
      <c r="C64" s="106" t="n">
        <f aca="false">C62+C63</f>
        <v>1027.05370963928</v>
      </c>
      <c r="D64" s="8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100" zoomScalePageLayoutView="100" workbookViewId="0">
      <selection pane="topLeft" activeCell="B46" activeCellId="0" sqref="B46"/>
    </sheetView>
  </sheetViews>
  <sheetFormatPr defaultColWidth="11.55078125" defaultRowHeight="12.8" zeroHeight="false" outlineLevelRow="0" outlineLevelCol="0"/>
  <cols>
    <col collapsed="false" customWidth="true" hidden="false" outlineLevel="0" max="2" min="2" style="1" width="24.34"/>
  </cols>
  <sheetData>
    <row r="1" customFormat="false" ht="15" hidden="false" customHeight="false" outlineLevel="0" collapsed="false">
      <c r="A1" s="11"/>
      <c r="B1" s="12" t="s">
        <v>18</v>
      </c>
      <c r="C1" s="12"/>
      <c r="D1" s="12"/>
      <c r="E1" s="12"/>
    </row>
    <row r="2" customFormat="false" ht="15" hidden="false" customHeight="false" outlineLevel="0" collapsed="false">
      <c r="A2" s="11"/>
      <c r="B2" s="12" t="s">
        <v>19</v>
      </c>
      <c r="C2" s="12"/>
      <c r="D2" s="12"/>
      <c r="E2" s="12"/>
    </row>
    <row r="3" customFormat="false" ht="15" hidden="false" customHeight="false" outlineLevel="0" collapsed="false">
      <c r="A3" s="11"/>
      <c r="B3" s="12"/>
      <c r="C3" s="12"/>
      <c r="D3" s="12"/>
      <c r="E3" s="12"/>
    </row>
    <row r="4" customFormat="false" ht="15" hidden="false" customHeight="false" outlineLevel="0" collapsed="false">
      <c r="A4" s="11"/>
      <c r="B4" s="12"/>
      <c r="C4" s="12"/>
      <c r="D4" s="12"/>
      <c r="E4" s="12"/>
    </row>
    <row r="5" customFormat="false" ht="23.85" hidden="false" customHeight="true" outlineLevel="0" collapsed="false">
      <c r="A5" s="63" t="s">
        <v>47</v>
      </c>
      <c r="B5" s="63"/>
      <c r="C5" s="63"/>
      <c r="D5" s="63"/>
      <c r="E5" s="63"/>
    </row>
    <row r="6" customFormat="false" ht="12.8" hidden="false" customHeight="false" outlineLevel="0" collapsed="false">
      <c r="A6" s="64" t="s">
        <v>151</v>
      </c>
      <c r="B6" s="64"/>
      <c r="C6" s="64"/>
      <c r="D6" s="64"/>
      <c r="E6" s="100" t="n">
        <v>25</v>
      </c>
    </row>
    <row r="7" customFormat="false" ht="23.85" hidden="false" customHeight="false" outlineLevel="0" collapsed="false">
      <c r="A7" s="64" t="s">
        <v>49</v>
      </c>
      <c r="B7" s="64"/>
      <c r="C7" s="101" t="s">
        <v>50</v>
      </c>
      <c r="D7" s="102" t="s">
        <v>51</v>
      </c>
      <c r="E7" s="103" t="s">
        <v>52</v>
      </c>
    </row>
    <row r="8" customFormat="false" ht="13.8" hidden="false" customHeight="false" outlineLevel="0" collapsed="false">
      <c r="A8" s="64"/>
      <c r="B8" s="64"/>
      <c r="C8" s="8" t="n">
        <v>216</v>
      </c>
      <c r="D8" s="8" t="n">
        <v>21</v>
      </c>
      <c r="E8" s="8" t="n">
        <v>252</v>
      </c>
    </row>
    <row r="9" customFormat="false" ht="12.8" hidden="false" customHeight="false" outlineLevel="0" collapsed="false">
      <c r="A9" s="22"/>
      <c r="B9" s="16"/>
      <c r="C9" s="17" t="s">
        <v>25</v>
      </c>
      <c r="D9" s="17" t="s">
        <v>53</v>
      </c>
      <c r="E9" s="24" t="s">
        <v>27</v>
      </c>
    </row>
    <row r="10" customFormat="false" ht="12.8" hidden="false" customHeight="false" outlineLevel="0" collapsed="false">
      <c r="A10" s="19" t="s">
        <v>54</v>
      </c>
      <c r="B10" s="22" t="s">
        <v>55</v>
      </c>
      <c r="C10" s="18"/>
      <c r="D10" s="19"/>
      <c r="E10" s="20"/>
    </row>
    <row r="11" customFormat="false" ht="12.8" hidden="false" customHeight="false" outlineLevel="0" collapsed="false">
      <c r="A11" s="19" t="s">
        <v>56</v>
      </c>
      <c r="B11" s="22" t="s">
        <v>57</v>
      </c>
      <c r="C11" s="17" t="s">
        <v>25</v>
      </c>
      <c r="D11" s="17" t="s">
        <v>53</v>
      </c>
      <c r="E11" s="24" t="s">
        <v>27</v>
      </c>
    </row>
    <row r="12" customFormat="false" ht="12.8" hidden="false" customHeight="false" outlineLevel="0" collapsed="false">
      <c r="A12" s="19" t="s">
        <v>58</v>
      </c>
      <c r="B12" s="18" t="s">
        <v>142</v>
      </c>
      <c r="C12" s="25" t="n">
        <v>77261</v>
      </c>
      <c r="D12" s="19" t="n">
        <v>1</v>
      </c>
      <c r="E12" s="26" t="n">
        <f aca="false">D12*C12</f>
        <v>77261</v>
      </c>
    </row>
    <row r="13" customFormat="false" ht="12.8" hidden="false" customHeight="false" outlineLevel="0" collapsed="false">
      <c r="A13" s="19"/>
      <c r="B13" s="22" t="s">
        <v>60</v>
      </c>
      <c r="C13" s="70" t="n">
        <f aca="false">C12</f>
        <v>77261</v>
      </c>
      <c r="D13" s="71"/>
      <c r="E13" s="72"/>
    </row>
    <row r="14" customFormat="false" ht="12.8" hidden="false" customHeight="false" outlineLevel="0" collapsed="false">
      <c r="A14" s="19"/>
      <c r="B14" s="18" t="s">
        <v>61</v>
      </c>
      <c r="C14" s="73" t="n">
        <f aca="false">C13*D14</f>
        <v>13242.5354</v>
      </c>
      <c r="D14" s="74" t="n">
        <v>0.1714</v>
      </c>
      <c r="E14" s="75" t="n">
        <f aca="false">C14</f>
        <v>13242.5354</v>
      </c>
    </row>
    <row r="15" customFormat="false" ht="12.8" hidden="false" customHeight="false" outlineLevel="0" collapsed="false">
      <c r="A15" s="19"/>
      <c r="B15" s="22" t="s">
        <v>62</v>
      </c>
      <c r="C15" s="73"/>
      <c r="D15" s="76" t="n">
        <f aca="false">E8</f>
        <v>252</v>
      </c>
      <c r="E15" s="24" t="n">
        <f aca="false">C14/D15</f>
        <v>52.5497436507936</v>
      </c>
    </row>
    <row r="16" customFormat="false" ht="12.8" hidden="false" customHeight="false" outlineLevel="0" collapsed="false">
      <c r="A16" s="19" t="s">
        <v>63</v>
      </c>
      <c r="B16" s="22" t="s">
        <v>64</v>
      </c>
      <c r="C16" s="17" t="s">
        <v>65</v>
      </c>
      <c r="D16" s="17" t="s">
        <v>66</v>
      </c>
      <c r="E16" s="24" t="s">
        <v>67</v>
      </c>
    </row>
    <row r="17" customFormat="false" ht="12.8" hidden="false" customHeight="false" outlineLevel="0" collapsed="false">
      <c r="A17" s="19" t="s">
        <v>68</v>
      </c>
      <c r="B17" s="18" t="s">
        <v>69</v>
      </c>
      <c r="C17" s="77" t="n">
        <v>94.1</v>
      </c>
      <c r="D17" s="76" t="n">
        <f aca="false">E8</f>
        <v>252</v>
      </c>
      <c r="E17" s="29" t="n">
        <f aca="false">C17/D17</f>
        <v>0.373412698412698</v>
      </c>
    </row>
    <row r="18" customFormat="false" ht="12.8" hidden="false" customHeight="false" outlineLevel="0" collapsed="false">
      <c r="A18" s="19" t="s">
        <v>70</v>
      </c>
      <c r="B18" s="18" t="s">
        <v>71</v>
      </c>
      <c r="C18" s="77" t="n">
        <f aca="false">C12*3%</f>
        <v>2317.83</v>
      </c>
      <c r="D18" s="19" t="n">
        <v>250</v>
      </c>
      <c r="E18" s="29" t="n">
        <f aca="false">C18/D18</f>
        <v>9.27132</v>
      </c>
    </row>
    <row r="19" customFormat="false" ht="12.8" hidden="false" customHeight="false" outlineLevel="0" collapsed="false">
      <c r="A19" s="19" t="s">
        <v>72</v>
      </c>
      <c r="B19" s="18" t="s">
        <v>73</v>
      </c>
      <c r="C19" s="78" t="n">
        <v>3254.6</v>
      </c>
      <c r="D19" s="76" t="n">
        <f aca="false">E8</f>
        <v>252</v>
      </c>
      <c r="E19" s="29" t="n">
        <f aca="false">C19/D19</f>
        <v>12.9150793650794</v>
      </c>
    </row>
    <row r="20" customFormat="false" ht="12.8" hidden="false" customHeight="false" outlineLevel="0" collapsed="false">
      <c r="A20" s="17"/>
      <c r="B20" s="22" t="s">
        <v>74</v>
      </c>
      <c r="C20" s="79" t="n">
        <f aca="false">SUM(C17:C19)</f>
        <v>5666.53</v>
      </c>
      <c r="D20" s="17"/>
      <c r="E20" s="24" t="n">
        <f aca="false">SUM(E17:E19)</f>
        <v>22.5598120634921</v>
      </c>
    </row>
    <row r="21" customFormat="false" ht="12.8" hidden="false" customHeight="false" outlineLevel="0" collapsed="false">
      <c r="A21" s="19" t="s">
        <v>75</v>
      </c>
      <c r="B21" s="22" t="s">
        <v>76</v>
      </c>
      <c r="C21" s="80"/>
      <c r="D21" s="19"/>
      <c r="E21" s="20"/>
    </row>
    <row r="22" customFormat="false" ht="12.8" hidden="false" customHeight="false" outlineLevel="0" collapsed="false">
      <c r="A22" s="19" t="s">
        <v>39</v>
      </c>
      <c r="B22" s="21" t="s">
        <v>77</v>
      </c>
      <c r="C22" s="80" t="n">
        <f aca="false">(C8*2)+(E6*2)</f>
        <v>482</v>
      </c>
      <c r="D22" s="19"/>
      <c r="E22" s="20"/>
    </row>
    <row r="23" customFormat="false" ht="12.8" hidden="false" customHeight="false" outlineLevel="0" collapsed="false">
      <c r="A23" s="19" t="s">
        <v>78</v>
      </c>
      <c r="B23" s="21" t="s">
        <v>79</v>
      </c>
      <c r="C23" s="25" t="n">
        <v>13</v>
      </c>
      <c r="D23" s="19"/>
      <c r="E23" s="20"/>
    </row>
    <row r="24" customFormat="false" ht="12.8" hidden="false" customHeight="false" outlineLevel="0" collapsed="false">
      <c r="A24" s="19" t="s">
        <v>41</v>
      </c>
      <c r="B24" s="21" t="s">
        <v>80</v>
      </c>
      <c r="C24" s="81" t="n">
        <v>5.89</v>
      </c>
      <c r="D24" s="19"/>
      <c r="E24" s="20"/>
    </row>
    <row r="25" customFormat="false" ht="12.8" hidden="false" customHeight="false" outlineLevel="0" collapsed="false">
      <c r="A25" s="19"/>
      <c r="B25" s="16" t="s">
        <v>81</v>
      </c>
      <c r="C25" s="82" t="n">
        <f aca="false">(C24)*(C22/C23)</f>
        <v>218.383076923077</v>
      </c>
      <c r="D25" s="19"/>
      <c r="E25" s="20" t="n">
        <f aca="false">C25</f>
        <v>218.383076923077</v>
      </c>
    </row>
    <row r="26" customFormat="false" ht="12.8" hidden="false" customHeight="false" outlineLevel="0" collapsed="false">
      <c r="A26" s="19" t="s">
        <v>82</v>
      </c>
      <c r="B26" s="22" t="s">
        <v>83</v>
      </c>
      <c r="C26" s="36"/>
      <c r="D26" s="27"/>
      <c r="E26" s="20"/>
    </row>
    <row r="27" customFormat="false" ht="12.8" hidden="false" customHeight="false" outlineLevel="0" collapsed="false">
      <c r="A27" s="19" t="s">
        <v>84</v>
      </c>
      <c r="B27" s="18" t="s">
        <v>85</v>
      </c>
      <c r="C27" s="27" t="n">
        <v>0.06</v>
      </c>
      <c r="D27" s="27"/>
      <c r="E27" s="20"/>
    </row>
    <row r="28" customFormat="false" ht="12.8" hidden="false" customHeight="false" outlineLevel="0" collapsed="false">
      <c r="A28" s="19" t="s">
        <v>86</v>
      </c>
      <c r="B28" s="18" t="s">
        <v>87</v>
      </c>
      <c r="C28" s="27" t="n">
        <f aca="false">C25</f>
        <v>218.383076923077</v>
      </c>
      <c r="D28" s="27"/>
      <c r="E28" s="20"/>
    </row>
    <row r="29" customFormat="false" ht="12.8" hidden="false" customHeight="false" outlineLevel="0" collapsed="false">
      <c r="A29" s="19"/>
      <c r="B29" s="22" t="s">
        <v>88</v>
      </c>
      <c r="C29" s="36" t="n">
        <f aca="false">C28*C27</f>
        <v>13.1029846153846</v>
      </c>
      <c r="D29" s="27"/>
      <c r="E29" s="20" t="n">
        <f aca="false">C29</f>
        <v>13.1029846153846</v>
      </c>
    </row>
    <row r="30" customFormat="false" ht="12.8" hidden="false" customHeight="false" outlineLevel="0" collapsed="false">
      <c r="A30" s="19" t="s">
        <v>89</v>
      </c>
      <c r="B30" s="22" t="s">
        <v>90</v>
      </c>
      <c r="C30" s="36"/>
      <c r="D30" s="27"/>
      <c r="E30" s="20"/>
    </row>
    <row r="31" customFormat="false" ht="12.8" hidden="false" customHeight="false" outlineLevel="0" collapsed="false">
      <c r="A31" s="19" t="s">
        <v>91</v>
      </c>
      <c r="B31" s="18" t="s">
        <v>92</v>
      </c>
      <c r="C31" s="30" t="n">
        <f aca="false">(528+488+314.91)/3</f>
        <v>443.636666666667</v>
      </c>
      <c r="D31" s="27"/>
      <c r="E31" s="20"/>
    </row>
    <row r="32" customFormat="false" ht="12.8" hidden="false" customHeight="false" outlineLevel="0" collapsed="false">
      <c r="A32" s="19" t="s">
        <v>93</v>
      </c>
      <c r="B32" s="18" t="s">
        <v>94</v>
      </c>
      <c r="C32" s="27" t="n">
        <v>4</v>
      </c>
      <c r="D32" s="27"/>
      <c r="E32" s="20"/>
    </row>
    <row r="33" customFormat="false" ht="12.8" hidden="false" customHeight="false" outlineLevel="0" collapsed="false">
      <c r="A33" s="19" t="s">
        <v>95</v>
      </c>
      <c r="B33" s="18" t="s">
        <v>96</v>
      </c>
      <c r="C33" s="27" t="n">
        <v>35000</v>
      </c>
      <c r="D33" s="27"/>
      <c r="E33" s="20"/>
    </row>
    <row r="34" customFormat="false" ht="12.8" hidden="false" customHeight="false" outlineLevel="0" collapsed="false">
      <c r="A34" s="19" t="s">
        <v>97</v>
      </c>
      <c r="B34" s="21" t="s">
        <v>98</v>
      </c>
      <c r="C34" s="27" t="n">
        <f aca="false">C8*2</f>
        <v>432</v>
      </c>
      <c r="D34" s="27"/>
      <c r="E34" s="20"/>
    </row>
    <row r="35" customFormat="false" ht="13.8" hidden="false" customHeight="false" outlineLevel="0" collapsed="false">
      <c r="A35" s="19" t="s">
        <v>99</v>
      </c>
      <c r="B35" s="18" t="s">
        <v>100</v>
      </c>
      <c r="C35" s="27" t="n">
        <v>1</v>
      </c>
      <c r="D35" s="27"/>
      <c r="E35" s="20"/>
    </row>
    <row r="36" customFormat="false" ht="12.8" hidden="false" customHeight="false" outlineLevel="0" collapsed="false">
      <c r="A36" s="19"/>
      <c r="B36" s="22" t="s">
        <v>101</v>
      </c>
      <c r="C36" s="36" t="n">
        <f aca="false">(C31*C32)/C33*C34/C35</f>
        <v>21.902976</v>
      </c>
      <c r="D36" s="27"/>
      <c r="E36" s="20" t="n">
        <f aca="false">C36</f>
        <v>21.902976</v>
      </c>
    </row>
    <row r="37" customFormat="false" ht="12.8" hidden="false" customHeight="false" outlineLevel="0" collapsed="false">
      <c r="A37" s="19" t="s">
        <v>102</v>
      </c>
      <c r="B37" s="22" t="s">
        <v>103</v>
      </c>
      <c r="C37" s="36"/>
      <c r="D37" s="19"/>
      <c r="E37" s="20"/>
    </row>
    <row r="38" customFormat="false" ht="12.8" hidden="false" customHeight="false" outlineLevel="0" collapsed="false">
      <c r="A38" s="19" t="s">
        <v>104</v>
      </c>
      <c r="B38" s="18" t="s">
        <v>105</v>
      </c>
      <c r="C38" s="83" t="n">
        <v>0.74</v>
      </c>
      <c r="D38" s="19"/>
      <c r="E38" s="20"/>
    </row>
    <row r="39" customFormat="false" ht="12.8" hidden="false" customHeight="false" outlineLevel="0" collapsed="false">
      <c r="A39" s="19" t="s">
        <v>106</v>
      </c>
      <c r="B39" s="18" t="s">
        <v>107</v>
      </c>
      <c r="C39" s="80" t="n">
        <f aca="false">C25</f>
        <v>218.383076923077</v>
      </c>
      <c r="D39" s="19"/>
      <c r="E39" s="20"/>
    </row>
    <row r="40" customFormat="false" ht="12.8" hidden="false" customHeight="false" outlineLevel="0" collapsed="false">
      <c r="A40" s="19"/>
      <c r="B40" s="22" t="s">
        <v>88</v>
      </c>
      <c r="C40" s="36" t="n">
        <f aca="false">C39*C38</f>
        <v>161.603476923077</v>
      </c>
      <c r="D40" s="27"/>
      <c r="E40" s="20" t="n">
        <f aca="false">C40</f>
        <v>161.603476923077</v>
      </c>
    </row>
    <row r="41" customFormat="false" ht="12.8" hidden="false" customHeight="false" outlineLevel="0" collapsed="false">
      <c r="A41" s="19" t="s">
        <v>108</v>
      </c>
      <c r="B41" s="22" t="s">
        <v>109</v>
      </c>
      <c r="C41" s="36"/>
      <c r="D41" s="19"/>
      <c r="E41" s="20"/>
    </row>
    <row r="42" customFormat="false" ht="12.8" hidden="false" customHeight="false" outlineLevel="0" collapsed="false">
      <c r="A42" s="19" t="s">
        <v>110</v>
      </c>
      <c r="B42" s="18" t="s">
        <v>111</v>
      </c>
      <c r="C42" s="25" t="n">
        <f aca="false">'Valor Serviço'!C12</f>
        <v>8090.171672</v>
      </c>
      <c r="D42" s="19"/>
      <c r="E42" s="20"/>
    </row>
    <row r="43" customFormat="false" ht="12.8" hidden="false" customHeight="false" outlineLevel="0" collapsed="false">
      <c r="A43" s="19" t="s">
        <v>112</v>
      </c>
      <c r="B43" s="18" t="s">
        <v>105</v>
      </c>
      <c r="C43" s="84" t="n">
        <v>0.08</v>
      </c>
      <c r="D43" s="19"/>
      <c r="E43" s="20"/>
    </row>
    <row r="44" customFormat="false" ht="12.8" hidden="false" customHeight="false" outlineLevel="0" collapsed="false">
      <c r="A44" s="19"/>
      <c r="B44" s="18" t="s">
        <v>101</v>
      </c>
      <c r="C44" s="85" t="n">
        <f aca="false">C42*C43</f>
        <v>647.21373376</v>
      </c>
      <c r="D44" s="19"/>
      <c r="E44" s="20" t="n">
        <f aca="false">C44/D8</f>
        <v>30.8197016076191</v>
      </c>
    </row>
    <row r="45" customFormat="false" ht="12.8" hidden="false" customHeight="false" outlineLevel="0" collapsed="false">
      <c r="A45" s="21" t="s">
        <v>113</v>
      </c>
      <c r="B45" s="16" t="s">
        <v>114</v>
      </c>
      <c r="C45" s="17" t="s">
        <v>25</v>
      </c>
      <c r="D45" s="17" t="s">
        <v>53</v>
      </c>
      <c r="E45" s="24" t="s">
        <v>27</v>
      </c>
    </row>
    <row r="46" customFormat="false" ht="13.8" hidden="false" customHeight="false" outlineLevel="0" collapsed="false">
      <c r="A46" s="21" t="s">
        <v>115</v>
      </c>
      <c r="B46" s="21" t="s">
        <v>116</v>
      </c>
      <c r="C46" s="86" t="n">
        <f aca="false">25*21</f>
        <v>525</v>
      </c>
      <c r="D46" s="19" t="n">
        <v>21</v>
      </c>
      <c r="E46" s="87" t="n">
        <f aca="false">C46/D46</f>
        <v>25</v>
      </c>
    </row>
    <row r="47" customFormat="false" ht="12.8" hidden="false" customHeight="false" outlineLevel="0" collapsed="false">
      <c r="A47" s="21" t="s">
        <v>117</v>
      </c>
      <c r="B47" s="21" t="s">
        <v>118</v>
      </c>
      <c r="C47" s="73" t="n">
        <f aca="false">'valores Operacionais'!F10</f>
        <v>71.8011111111111</v>
      </c>
      <c r="D47" s="19" t="n">
        <v>21</v>
      </c>
      <c r="E47" s="87" t="n">
        <f aca="false">C47/D47</f>
        <v>3.41910052910053</v>
      </c>
    </row>
    <row r="48" customFormat="false" ht="12.8" hidden="false" customHeight="false" outlineLevel="0" collapsed="false">
      <c r="A48" s="21"/>
      <c r="B48" s="21" t="s">
        <v>119</v>
      </c>
      <c r="C48" s="73"/>
      <c r="D48" s="19"/>
      <c r="E48" s="72" t="n">
        <f aca="false">E46+E47</f>
        <v>28.4191005291005</v>
      </c>
    </row>
    <row r="49" customFormat="false" ht="12.8" hidden="false" customHeight="false" outlineLevel="0" collapsed="false">
      <c r="A49" s="19" t="s">
        <v>120</v>
      </c>
      <c r="B49" s="22" t="s">
        <v>121</v>
      </c>
      <c r="C49" s="27"/>
      <c r="D49" s="19"/>
      <c r="E49" s="20"/>
    </row>
    <row r="50" customFormat="false" ht="12.8" hidden="false" customHeight="false" outlineLevel="0" collapsed="false">
      <c r="A50" s="19" t="s">
        <v>122</v>
      </c>
      <c r="B50" s="88" t="s">
        <v>123</v>
      </c>
      <c r="C50" s="30" t="n">
        <f aca="false">C12</f>
        <v>77261</v>
      </c>
      <c r="D50" s="19"/>
      <c r="E50" s="20"/>
    </row>
    <row r="51" customFormat="false" ht="12.8" hidden="false" customHeight="false" outlineLevel="0" collapsed="false">
      <c r="A51" s="19" t="s">
        <v>124</v>
      </c>
      <c r="B51" s="88" t="s">
        <v>125</v>
      </c>
      <c r="C51" s="89" t="n">
        <v>0.1325</v>
      </c>
      <c r="D51" s="19"/>
      <c r="E51" s="20"/>
    </row>
    <row r="52" customFormat="false" ht="12.8" hidden="false" customHeight="false" outlineLevel="0" collapsed="false">
      <c r="A52" s="19" t="s">
        <v>126</v>
      </c>
      <c r="B52" s="88" t="s">
        <v>127</v>
      </c>
      <c r="C52" s="36" t="n">
        <v>0.8</v>
      </c>
      <c r="D52" s="19"/>
      <c r="E52" s="20"/>
    </row>
    <row r="53" customFormat="false" ht="12.8" hidden="false" customHeight="false" outlineLevel="0" collapsed="false">
      <c r="A53" s="19"/>
      <c r="B53" s="90" t="s">
        <v>128</v>
      </c>
      <c r="C53" s="27" t="n">
        <f aca="false">C50*C51*C52</f>
        <v>8189.666</v>
      </c>
      <c r="D53" s="19"/>
      <c r="E53" s="20"/>
    </row>
    <row r="54" customFormat="false" ht="23.85" hidden="false" customHeight="false" outlineLevel="0" collapsed="false">
      <c r="A54" s="19"/>
      <c r="B54" s="91" t="s">
        <v>129</v>
      </c>
      <c r="C54" s="92" t="n">
        <f aca="false">E8</f>
        <v>252</v>
      </c>
      <c r="D54" s="19"/>
      <c r="E54" s="20"/>
    </row>
    <row r="55" customFormat="false" ht="12.8" hidden="false" customHeight="false" outlineLevel="0" collapsed="false">
      <c r="A55" s="19"/>
      <c r="B55" s="90" t="s">
        <v>130</v>
      </c>
      <c r="C55" s="36" t="n">
        <f aca="false">C53/C54</f>
        <v>32.4986746031746</v>
      </c>
      <c r="D55" s="19"/>
      <c r="E55" s="20" t="n">
        <f aca="false">C55</f>
        <v>32.4986746031746</v>
      </c>
    </row>
    <row r="56" customFormat="false" ht="12.8" hidden="false" customHeight="false" outlineLevel="0" collapsed="false">
      <c r="A56" s="17"/>
      <c r="B56" s="22" t="s">
        <v>143</v>
      </c>
      <c r="C56" s="36"/>
      <c r="D56" s="17"/>
      <c r="E56" s="24" t="n">
        <f aca="false">E20+E25+E29+E36+E40+E44+E48+E55</f>
        <v>529.289803264925</v>
      </c>
    </row>
    <row r="57" customFormat="false" ht="12.8" hidden="false" customHeight="false" outlineLevel="0" collapsed="false">
      <c r="A57" s="19" t="s">
        <v>132</v>
      </c>
      <c r="B57" s="22" t="s">
        <v>36</v>
      </c>
      <c r="C57" s="36" t="s">
        <v>37</v>
      </c>
      <c r="D57" s="17" t="s">
        <v>38</v>
      </c>
      <c r="E57" s="24" t="s">
        <v>27</v>
      </c>
    </row>
    <row r="58" customFormat="false" ht="12.8" hidden="false" customHeight="false" outlineLevel="0" collapsed="false">
      <c r="A58" s="19" t="s">
        <v>133</v>
      </c>
      <c r="B58" s="18" t="s">
        <v>40</v>
      </c>
      <c r="C58" s="37" t="n">
        <f aca="false">ROUND((E56/D61),2)</f>
        <v>635.02</v>
      </c>
      <c r="D58" s="28" t="n">
        <v>0.0665</v>
      </c>
      <c r="E58" s="38" t="n">
        <f aca="false">C58*D58</f>
        <v>42.22883</v>
      </c>
    </row>
    <row r="59" customFormat="false" ht="12.8" hidden="false" customHeight="false" outlineLevel="0" collapsed="false">
      <c r="A59" s="19" t="s">
        <v>135</v>
      </c>
      <c r="B59" s="18" t="s">
        <v>42</v>
      </c>
      <c r="C59" s="39" t="n">
        <f aca="false">C58</f>
        <v>635.02</v>
      </c>
      <c r="D59" s="40" t="n">
        <v>0.1</v>
      </c>
      <c r="E59" s="41" t="n">
        <f aca="false">C59*D59</f>
        <v>63.502</v>
      </c>
    </row>
    <row r="60" customFormat="false" ht="12.8" hidden="false" customHeight="false" outlineLevel="0" collapsed="false">
      <c r="A60" s="19"/>
      <c r="B60" s="22" t="s">
        <v>43</v>
      </c>
      <c r="C60" s="42"/>
      <c r="D60" s="43" t="n">
        <f aca="false">SUM(D58:D59)</f>
        <v>0.1665</v>
      </c>
      <c r="E60" s="44" t="n">
        <f aca="false">SUM(E58:E59)</f>
        <v>105.73083</v>
      </c>
    </row>
    <row r="61" customFormat="false" ht="12.8" hidden="false" customHeight="false" outlineLevel="0" collapsed="false">
      <c r="A61" s="19"/>
      <c r="B61" s="22"/>
      <c r="C61" s="42"/>
      <c r="D61" s="28" t="n">
        <f aca="false">1-D60</f>
        <v>0.8335</v>
      </c>
      <c r="E61" s="38"/>
    </row>
    <row r="62" customFormat="false" ht="13.8" hidden="false" customHeight="false" outlineLevel="0" collapsed="false">
      <c r="A62" s="19" t="n">
        <v>10</v>
      </c>
      <c r="B62" s="22" t="s">
        <v>144</v>
      </c>
      <c r="C62" s="42" t="n">
        <f aca="false">E60+E56</f>
        <v>635.020633264925</v>
      </c>
      <c r="D62" s="19"/>
      <c r="E62" s="38"/>
    </row>
    <row r="63" customFormat="false" ht="13.8" hidden="false" customHeight="false" outlineLevel="0" collapsed="false">
      <c r="A63" s="64" t="n">
        <v>11</v>
      </c>
      <c r="B63" s="90" t="s">
        <v>145</v>
      </c>
      <c r="C63" s="106" t="n">
        <f aca="false">'Valor Serviço'!C19</f>
        <v>323.541799066667</v>
      </c>
      <c r="D63" s="8"/>
      <c r="E63" s="8"/>
    </row>
    <row r="64" customFormat="false" ht="13.8" hidden="false" customHeight="false" outlineLevel="0" collapsed="false">
      <c r="A64" s="96"/>
      <c r="B64" s="97" t="s">
        <v>140</v>
      </c>
      <c r="C64" s="106" t="n">
        <f aca="false">C62+C63</f>
        <v>958.562432331592</v>
      </c>
      <c r="D64" s="8"/>
      <c r="E64" s="8"/>
    </row>
  </sheetData>
  <mergeCells count="6">
    <mergeCell ref="B1:E1"/>
    <mergeCell ref="B2:E2"/>
    <mergeCell ref="B3:E3"/>
    <mergeCell ref="A5:E5"/>
    <mergeCell ref="A6:D6"/>
    <mergeCell ref="A7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6825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2015-08-10T10:36:01Z</dcterms:created>
  <dc:creator>Adonis</dc:creator>
  <dc:description/>
  <dc:language>pt-BR</dc:language>
  <cp:lastModifiedBy/>
  <cp:lastPrinted>2023-09-05T15:08:01Z</cp:lastPrinted>
  <dcterms:modified xsi:type="dcterms:W3CDTF">2023-09-05T15:08:06Z</dcterms:modified>
  <cp:revision>167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