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Desktop\lixo\arquivos para nova licitação\processo de licitação\planilha atualizada\"/>
    </mc:Choice>
  </mc:AlternateContent>
  <xr:revisionPtr revIDLastSave="0" documentId="13_ncr:1_{D2F36F08-E56A-4909-B513-703C8F39A379}" xr6:coauthVersionLast="46" xr6:coauthVersionMax="46" xr10:uidLastSave="{00000000-0000-0000-0000-000000000000}"/>
  <bookViews>
    <workbookView xWindow="-120" yWindow="-120" windowWidth="29040" windowHeight="15840" tabRatio="666" xr2:uid="{00000000-000D-0000-FFFF-FFFF00000000}"/>
  </bookViews>
  <sheets>
    <sheet name="1. Transbordo de RSU" sheetId="2" r:id="rId1"/>
    <sheet name="2.Encargos Sociais" sheetId="8" r:id="rId2"/>
    <sheet name="3.CAGED" sheetId="5" r:id="rId3"/>
    <sheet name="4.BDI" sheetId="4" r:id="rId4"/>
    <sheet name="5. Depreciação" sheetId="6" r:id="rId5"/>
    <sheet name="6.Remuneração de capital" sheetId="7" r:id="rId6"/>
  </sheets>
  <definedNames>
    <definedName name="AbaDeprec">'5. Depreciação'!$A$1</definedName>
    <definedName name="AbaRemun">'6.Remuneração de capital'!$A$1</definedName>
    <definedName name="_xlnm.Print_Area" localSheetId="0">'1. Transbordo de RSU'!$A$1:$F$329</definedName>
    <definedName name="_xlnm.Print_Area" localSheetId="1">'2.Encargos Sociais'!$A$1:$C$36</definedName>
    <definedName name="_xlnm.Print_Titles" localSheetId="0">'1. Transbordo de RSU'!$1:$17</definedName>
  </definedNames>
  <calcPr calcId="181029"/>
</workbook>
</file>

<file path=xl/calcChain.xml><?xml version="1.0" encoding="utf-8"?>
<calcChain xmlns="http://schemas.openxmlformats.org/spreadsheetml/2006/main">
  <c r="D206" i="2" l="1"/>
  <c r="D237" i="2"/>
  <c r="E54" i="2"/>
  <c r="D126" i="2" l="1"/>
  <c r="D125" i="2"/>
  <c r="D124" i="2"/>
  <c r="D123" i="2"/>
  <c r="E151" i="2"/>
  <c r="E150" i="2"/>
  <c r="E149" i="2"/>
  <c r="E148" i="2"/>
  <c r="E147" i="2"/>
  <c r="E146" i="2"/>
  <c r="E145" i="2"/>
  <c r="E144" i="2"/>
  <c r="E143" i="2"/>
  <c r="E142" i="2"/>
  <c r="E141" i="2"/>
  <c r="E163" i="2"/>
  <c r="A27" i="2" l="1"/>
  <c r="A40" i="2"/>
  <c r="C113" i="2" l="1"/>
  <c r="C114" i="2"/>
  <c r="A50" i="2"/>
  <c r="C272" i="2" l="1"/>
  <c r="E271" i="2"/>
  <c r="D261" i="2"/>
  <c r="D259" i="2"/>
  <c r="C259" i="2"/>
  <c r="C261" i="2" s="1"/>
  <c r="E250" i="2"/>
  <c r="E249" i="2"/>
  <c r="E248" i="2"/>
  <c r="C244" i="2"/>
  <c r="E237" i="2"/>
  <c r="C231" i="2"/>
  <c r="C230" i="2"/>
  <c r="E226" i="2"/>
  <c r="D229" i="2" s="1"/>
  <c r="E229" i="2" s="1"/>
  <c r="C119" i="2"/>
  <c r="E122" i="2"/>
  <c r="E121" i="2"/>
  <c r="A120" i="2"/>
  <c r="E120" i="2"/>
  <c r="E111" i="2"/>
  <c r="E114" i="2"/>
  <c r="C105" i="2"/>
  <c r="D103" i="2"/>
  <c r="E103" i="2" s="1"/>
  <c r="D102" i="2"/>
  <c r="E102" i="2" s="1"/>
  <c r="E101" i="2"/>
  <c r="C95" i="2"/>
  <c r="D93" i="2"/>
  <c r="E93" i="2" s="1"/>
  <c r="D92" i="2"/>
  <c r="E92" i="2" s="1"/>
  <c r="E91" i="2"/>
  <c r="E292" i="2"/>
  <c r="E291" i="2"/>
  <c r="E290" i="2"/>
  <c r="E289" i="2"/>
  <c r="E288" i="2"/>
  <c r="E287" i="2"/>
  <c r="E286" i="2"/>
  <c r="E285" i="2"/>
  <c r="E284" i="2"/>
  <c r="B327" i="2"/>
  <c r="C319" i="2"/>
  <c r="E300" i="2"/>
  <c r="E125" i="2" l="1"/>
  <c r="D262" i="2"/>
  <c r="E124" i="2"/>
  <c r="E126" i="2"/>
  <c r="D251" i="2"/>
  <c r="E251" i="2" s="1"/>
  <c r="F252" i="2" s="1"/>
  <c r="D230" i="2"/>
  <c r="E230" i="2" s="1"/>
  <c r="D231" i="2"/>
  <c r="E231" i="2" s="1"/>
  <c r="C240" i="2"/>
  <c r="E261" i="2"/>
  <c r="C267" i="2"/>
  <c r="E267" i="2" s="1"/>
  <c r="F268" i="2" s="1"/>
  <c r="D272" i="2"/>
  <c r="E272" i="2" s="1"/>
  <c r="F273" i="2" s="1"/>
  <c r="E259" i="2"/>
  <c r="E104" i="2"/>
  <c r="E94" i="2"/>
  <c r="E232" i="2" l="1"/>
  <c r="D233" i="2" s="1"/>
  <c r="E233" i="2" s="1"/>
  <c r="F234" i="2" s="1"/>
  <c r="F263" i="2"/>
  <c r="D242" i="2"/>
  <c r="E242" i="2" s="1"/>
  <c r="D241" i="2"/>
  <c r="E241" i="2" s="1"/>
  <c r="D105" i="2"/>
  <c r="D95" i="2"/>
  <c r="E95" i="2" l="1"/>
  <c r="E96" i="2" s="1"/>
  <c r="D97" i="2" s="1"/>
  <c r="E97" i="2" s="1"/>
  <c r="F98" i="2" s="1"/>
  <c r="E105" i="2"/>
  <c r="E106" i="2" s="1"/>
  <c r="D107" i="2" s="1"/>
  <c r="E107" i="2" s="1"/>
  <c r="F108" i="2" s="1"/>
  <c r="E27" i="2" s="1"/>
  <c r="E243" i="2"/>
  <c r="D244" i="2" s="1"/>
  <c r="E244" i="2" s="1"/>
  <c r="F245" i="2" s="1"/>
  <c r="F277" i="2" l="1"/>
  <c r="E40" i="2" s="1"/>
  <c r="A51" i="2"/>
  <c r="D214" i="2" l="1"/>
  <c r="D210" i="2"/>
  <c r="E210" i="2" s="1"/>
  <c r="D208" i="2"/>
  <c r="E206" i="2"/>
  <c r="C208" i="2"/>
  <c r="E208" i="2" l="1"/>
  <c r="C214" i="2"/>
  <c r="E214" i="2" s="1"/>
  <c r="E44" i="2"/>
  <c r="D66" i="2" l="1"/>
  <c r="E66" i="2" s="1"/>
  <c r="D67" i="2"/>
  <c r="E67" i="2" s="1"/>
  <c r="C178" i="2" l="1"/>
  <c r="C190" i="2" l="1"/>
  <c r="E157" i="2" l="1"/>
  <c r="D152" i="2" l="1"/>
  <c r="E152" i="2" s="1"/>
  <c r="D79" i="2"/>
  <c r="E79" i="2" s="1"/>
  <c r="D68" i="2" l="1"/>
  <c r="E68" i="2" s="1"/>
  <c r="D80" i="2"/>
  <c r="E80" i="2" s="1"/>
  <c r="D81" i="2" s="1"/>
  <c r="E81" i="2" s="1"/>
  <c r="A38" i="2" l="1"/>
  <c r="A37" i="2"/>
  <c r="A36" i="2"/>
  <c r="A35" i="2"/>
  <c r="A34" i="2"/>
  <c r="A33" i="2"/>
  <c r="A30" i="2"/>
  <c r="A29" i="2"/>
  <c r="A28" i="2"/>
  <c r="A26" i="2"/>
  <c r="A25" i="2"/>
  <c r="A24" i="2"/>
  <c r="C17" i="8"/>
  <c r="E132" i="2"/>
  <c r="C13" i="4"/>
  <c r="C18" i="4" s="1"/>
  <c r="F11" i="4"/>
  <c r="E11" i="4"/>
  <c r="D11" i="4"/>
  <c r="C14" i="8"/>
  <c r="C34" i="5"/>
  <c r="C29" i="5"/>
  <c r="C28" i="8" s="1"/>
  <c r="C28" i="5"/>
  <c r="E77" i="2"/>
  <c r="D215" i="2"/>
  <c r="E175" i="2"/>
  <c r="C301" i="2"/>
  <c r="E301" i="2" s="1"/>
  <c r="D302" i="2" s="1"/>
  <c r="E302" i="2" s="1"/>
  <c r="F303" i="2" s="1"/>
  <c r="A23" i="2"/>
  <c r="A31" i="2"/>
  <c r="A32" i="2"/>
  <c r="A42" i="2"/>
  <c r="A43" i="2"/>
  <c r="A45" i="2"/>
  <c r="E65" i="2"/>
  <c r="A131" i="2"/>
  <c r="E158" i="2"/>
  <c r="E159" i="2"/>
  <c r="E160" i="2"/>
  <c r="D161" i="2"/>
  <c r="E161" i="2" s="1"/>
  <c r="E162" i="2"/>
  <c r="E196" i="2"/>
  <c r="E195" i="2"/>
  <c r="D164" i="2" l="1"/>
  <c r="D69" i="2"/>
  <c r="E69" i="2" s="1"/>
  <c r="E70" i="2" s="1"/>
  <c r="D71" i="2" s="1"/>
  <c r="E178" i="2"/>
  <c r="D179" i="2" s="1"/>
  <c r="F292" i="2"/>
  <c r="F294" i="2" s="1"/>
  <c r="E42" i="2" s="1"/>
  <c r="D83" i="2"/>
  <c r="E83" i="2" s="1"/>
  <c r="E84" i="2" s="1"/>
  <c r="C27" i="8"/>
  <c r="G28" i="5"/>
  <c r="C39" i="5"/>
  <c r="E37" i="5"/>
  <c r="D37" i="5" s="1"/>
  <c r="D38" i="5" s="1"/>
  <c r="C38" i="5" s="1"/>
  <c r="C24" i="8" s="1"/>
  <c r="C32" i="8" s="1"/>
  <c r="C212" i="2"/>
  <c r="E212" i="2" s="1"/>
  <c r="F216" i="2" s="1"/>
  <c r="E119" i="2"/>
  <c r="E123" i="2" s="1"/>
  <c r="F127" i="2" s="1"/>
  <c r="E130" i="2"/>
  <c r="E113" i="2"/>
  <c r="E131" i="2"/>
  <c r="E219" i="2"/>
  <c r="F220" i="2" s="1"/>
  <c r="E299" i="2"/>
  <c r="F305" i="2" s="1"/>
  <c r="E43" i="2" s="1"/>
  <c r="E185" i="2"/>
  <c r="E194" i="2"/>
  <c r="D197" i="2" s="1"/>
  <c r="E197" i="2" s="1"/>
  <c r="F198" i="2" s="1"/>
  <c r="E36" i="2" s="1"/>
  <c r="E115" i="2"/>
  <c r="F116" i="2" l="1"/>
  <c r="E28" i="2" s="1"/>
  <c r="E38" i="2"/>
  <c r="E179" i="2"/>
  <c r="E180" i="2" s="1"/>
  <c r="C188" i="2"/>
  <c r="D189" i="2" s="1"/>
  <c r="E189" i="2" s="1"/>
  <c r="D190" i="2" s="1"/>
  <c r="C26" i="8"/>
  <c r="C25" i="8"/>
  <c r="K35" i="5"/>
  <c r="K36" i="5" s="1"/>
  <c r="K37" i="5" s="1"/>
  <c r="K38" i="5" s="1"/>
  <c r="K39" i="5" s="1"/>
  <c r="K40" i="5" s="1"/>
  <c r="K41" i="5" s="1"/>
  <c r="C16" i="8"/>
  <c r="C22" i="8" s="1"/>
  <c r="C31" i="8" s="1"/>
  <c r="C33" i="8" s="1"/>
  <c r="F37" i="5"/>
  <c r="G37" i="5" s="1"/>
  <c r="C37" i="5"/>
  <c r="E29" i="2"/>
  <c r="F132" i="2"/>
  <c r="E164" i="2"/>
  <c r="F165" i="2" s="1"/>
  <c r="F153" i="2"/>
  <c r="E37" i="2"/>
  <c r="D85" i="2"/>
  <c r="E30" i="2" l="1"/>
  <c r="E190" i="2"/>
  <c r="F191" i="2" s="1"/>
  <c r="C29" i="8"/>
  <c r="C34" i="8" s="1"/>
  <c r="G38" i="5"/>
  <c r="G32" i="5"/>
  <c r="D181" i="2"/>
  <c r="E181" i="2" s="1"/>
  <c r="F182" i="2" s="1"/>
  <c r="F167" i="2"/>
  <c r="E31" i="2" s="1"/>
  <c r="F279" i="2" l="1"/>
  <c r="E32" i="2" s="1"/>
  <c r="E34" i="2"/>
  <c r="F275" i="2"/>
  <c r="E71" i="2"/>
  <c r="E72" i="2" s="1"/>
  <c r="D73" i="2" s="1"/>
  <c r="E73" i="2" s="1"/>
  <c r="F74" i="2" s="1"/>
  <c r="E35" i="2"/>
  <c r="E24" i="2" l="1"/>
  <c r="E33" i="2"/>
  <c r="E85" i="2"/>
  <c r="E86" i="2" s="1"/>
  <c r="D87" i="2" s="1"/>
  <c r="E87" i="2" s="1"/>
  <c r="F88" i="2" s="1"/>
  <c r="E25" i="2" s="1"/>
  <c r="F134" i="2" l="1"/>
  <c r="E26" i="2"/>
  <c r="F314" i="2" l="1"/>
  <c r="F307" i="2"/>
  <c r="E23" i="2"/>
  <c r="D319" i="2" l="1"/>
  <c r="E319" i="2" l="1"/>
  <c r="F320" i="2" s="1"/>
  <c r="F322" i="2" s="1"/>
  <c r="E45" i="2" l="1"/>
  <c r="E46" i="2" s="1"/>
  <c r="F30" i="2" s="1"/>
  <c r="F325" i="2"/>
  <c r="B329" i="2" s="1"/>
  <c r="F44" i="2" l="1"/>
  <c r="F40" i="2"/>
  <c r="F45" i="2"/>
  <c r="F27" i="2"/>
  <c r="F43" i="2"/>
  <c r="F32" i="2"/>
  <c r="F34" i="2"/>
  <c r="F28" i="2"/>
  <c r="F38" i="2"/>
  <c r="F35" i="2"/>
  <c r="F42" i="2"/>
  <c r="F24" i="2"/>
  <c r="F29" i="2"/>
  <c r="F37" i="2"/>
  <c r="F26" i="2"/>
  <c r="F33" i="2"/>
  <c r="F31" i="2"/>
  <c r="F25" i="2"/>
  <c r="F23" i="2"/>
  <c r="F36" i="2"/>
  <c r="F4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  <author/>
  </authors>
  <commentList>
    <comment ref="A21" authorId="0" shapeId="0" xr:uid="{00000000-0006-0000-0000-000001000000}">
      <text>
        <r>
          <rPr>
            <sz val="9"/>
            <color indexed="81"/>
            <rFont val="Tahoma"/>
            <family val="2"/>
          </rPr>
          <t>Qualquer custo previsto no edital e não contemplado nesta planilha modelo deverá ser devidamente incluído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9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Informar o fator de utilização das equipes de coleta.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65" authorId="0" shapeId="0" xr:uid="{00000000-0006-0000-0000-000003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66" authorId="0" shapeId="0" xr:uid="{00000000-0006-0000-0000-000004000000}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7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68" authorId="0" shapeId="0" xr:uid="{00000000-0006-0000-0000-000006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1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73" authorId="0" shapeId="0" xr:uid="{00000000-0006-0000-0000-000008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77" authorId="0" shapeId="0" xr:uid="{00000000-0006-0000-0000-000009000000}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D78" authorId="0" shapeId="0" xr:uid="{00000000-0006-0000-0000-00000A000000}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C79" authorId="0" shapeId="0" xr:uid="{00000000-0006-0000-0000-00000B000000}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80" authorId="0" shapeId="0" xr:uid="{00000000-0006-0000-0000-00000C000000}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81" authorId="0" shapeId="0" xr:uid="{00000000-0006-0000-0000-00000D000000}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2" authorId="0" shapeId="0" xr:uid="{00000000-0006-0000-0000-00000E000000}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83" authorId="0" shapeId="0" xr:uid="{00000000-0006-0000-0000-00000F000000}">
      <text>
        <r>
          <rPr>
            <sz val="9"/>
            <color indexed="81"/>
            <rFont val="Tahoma"/>
            <family val="2"/>
          </rPr>
          <t>Percentual estabelecido nas Normas de Segurança de Trabalho ou pelo laudo de responsável técnico devidamente habilitado</t>
        </r>
      </text>
    </comment>
    <comment ref="C87" authorId="0" shapeId="0" xr:uid="{00000000-0006-0000-0000-000010000000}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92" authorId="1" shapeId="0" xr:uid="{2783C63A-967E-4496-A394-0C19755B86A6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diurno nos domingos e feriados</t>
        </r>
      </text>
    </comment>
    <comment ref="C93" authorId="1" shapeId="0" xr:uid="{249C552A-B48B-4CFA-A182-959DCC02721C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noturno de segunda à sábado</t>
        </r>
      </text>
    </comment>
    <comment ref="C97" authorId="1" shapeId="0" xr:uid="{13010CC5-25F4-43C5-AB91-4082E80FA424}">
      <text>
        <r>
          <rPr>
            <sz val="9"/>
            <color rgb="FF000000"/>
            <rFont val="Tahoma"/>
            <family val="2"/>
            <charset val="1"/>
          </rPr>
          <t>Informar a quantidade de trabalhadores na função</t>
        </r>
      </text>
    </comment>
    <comment ref="C102" authorId="1" shapeId="0" xr:uid="{255BE65E-02AF-44A3-AF84-BA9CBA4DB049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diurno nos domingos e feriados</t>
        </r>
      </text>
    </comment>
    <comment ref="C103" authorId="1" shapeId="0" xr:uid="{237838B1-8C30-49C7-880C-01037995737F}">
      <text>
        <r>
          <rPr>
            <sz val="9"/>
            <color rgb="FF000000"/>
            <rFont val="Tahoma"/>
            <family val="2"/>
            <charset val="1"/>
          </rPr>
          <t>Informar o número de horas extras trabalhadas em horário noturno de segunda à sábado</t>
        </r>
      </text>
    </comment>
    <comment ref="C107" authorId="1" shapeId="0" xr:uid="{87A449FB-EE11-4117-A02F-DD46A082FAE0}">
      <text>
        <r>
          <rPr>
            <sz val="9"/>
            <color rgb="FF000000"/>
            <rFont val="Tahoma"/>
            <family val="2"/>
            <charset val="1"/>
          </rPr>
          <t>Informar a quantidade de trabalhadores na função</t>
        </r>
      </text>
    </comment>
    <comment ref="D111" authorId="0" shapeId="0" xr:uid="{00000000-0006-0000-0000-000014000000}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112" authorId="0" shapeId="0" xr:uid="{00000000-0006-0000-0000-000015000000}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113" authorId="0" shapeId="0" xr:uid="{00000000-0006-0000-0000-000016000000}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115" authorId="0" shapeId="0" xr:uid="{00000000-0006-0000-0000-000017000000}">
      <text>
        <r>
          <rPr>
            <sz val="9"/>
            <color indexed="81"/>
            <rFont val="Tahoma"/>
            <family val="2"/>
          </rPr>
          <t xml:space="preserve">Valor Unitário considerando o desconto legal de até 6% do salário
</t>
        </r>
      </text>
    </comment>
    <comment ref="D119" authorId="0" shapeId="0" xr:uid="{00000000-0006-0000-0000-000018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20" authorId="0" shapeId="0" xr:uid="{00000000-0006-0000-0000-000019000000}">
      <text>
        <r>
          <rPr>
            <sz val="9"/>
            <color indexed="81"/>
            <rFont val="Tahoma"/>
            <family val="2"/>
          </rPr>
          <t>Informar o valor unitário diário do vale refeição conforme Convenção Coletiva da categoria</t>
        </r>
      </text>
    </comment>
    <comment ref="D124" authorId="1" shapeId="0" xr:uid="{9BD602D7-7097-4925-BB83-8AD70670F02E}">
      <text>
        <r>
          <rPr>
            <sz val="10"/>
            <rFont val="Arial"/>
            <family val="2"/>
            <charset val="1"/>
          </rPr>
          <t>Desconto de 7% do salário base do trabalhador.</t>
        </r>
      </text>
    </comment>
    <comment ref="D125" authorId="1" shapeId="0" xr:uid="{CEB06FCB-3414-4B86-82F8-923D77B48786}">
      <text>
        <r>
          <rPr>
            <sz val="10"/>
            <rFont val="Arial"/>
            <family val="2"/>
            <charset val="1"/>
          </rPr>
          <t>Desconto de 7% do salário base do trabalhador.</t>
        </r>
      </text>
    </comment>
    <comment ref="D126" authorId="1" shapeId="0" xr:uid="{45944296-5CA6-4630-83C8-48FB97556E05}">
      <text>
        <r>
          <rPr>
            <sz val="10"/>
            <rFont val="Arial"/>
            <family val="2"/>
            <charset val="1"/>
          </rPr>
          <t>Desconto de 7% do salário base do trabalhador.</t>
        </r>
      </text>
    </comment>
    <comment ref="D130" authorId="0" shapeId="0" xr:uid="{00000000-0006-0000-0000-00001A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D131" authorId="0" shapeId="0" xr:uid="{00000000-0006-0000-0000-00001B000000}">
      <text>
        <r>
          <rPr>
            <sz val="9"/>
            <color indexed="81"/>
            <rFont val="Tahoma"/>
            <family val="2"/>
          </rPr>
          <t>Informar o valor mensal do auxilio alimentação conforme Convenção Coletiva da categoria</t>
        </r>
      </text>
    </comment>
    <comment ref="C141" authorId="0" shapeId="0" xr:uid="{00000000-0006-0000-0000-00001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1" authorId="0" shapeId="0" xr:uid="{00000000-0006-0000-0000-00001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2" authorId="0" shapeId="0" xr:uid="{00000000-0006-0000-0000-00001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2" authorId="0" shapeId="0" xr:uid="{00000000-0006-0000-0000-00001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3" authorId="0" shapeId="0" xr:uid="{00000000-0006-0000-0000-00002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3" authorId="0" shapeId="0" xr:uid="{00000000-0006-0000-0000-000021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4" authorId="0" shapeId="0" xr:uid="{00000000-0006-0000-0000-00002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4" authorId="0" shapeId="0" xr:uid="{00000000-0006-0000-0000-000023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5" authorId="0" shapeId="0" xr:uid="{00000000-0006-0000-0000-00002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5" authorId="0" shapeId="0" xr:uid="{00000000-0006-0000-0000-000025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6" authorId="0" shapeId="0" xr:uid="{00000000-0006-0000-0000-000026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6" authorId="0" shapeId="0" xr:uid="{00000000-0006-0000-0000-000027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7" authorId="0" shapeId="0" xr:uid="{00000000-0006-0000-0000-000028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7" authorId="0" shapeId="0" xr:uid="{00000000-0006-0000-0000-000029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8" authorId="0" shapeId="0" xr:uid="{00000000-0006-0000-0000-00002A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8" authorId="0" shapeId="0" xr:uid="{00000000-0006-0000-0000-00002B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49" authorId="0" shapeId="0" xr:uid="{00000000-0006-0000-0000-00002C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49" authorId="0" shapeId="0" xr:uid="{00000000-0006-0000-0000-00002D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0" authorId="0" shapeId="0" xr:uid="{00000000-0006-0000-0000-00002E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0" authorId="0" shapeId="0" xr:uid="{00000000-0006-0000-0000-00002F000000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7" authorId="0" shapeId="0" xr:uid="{00000000-0006-0000-0000-000030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7" authorId="0" shapeId="0" xr:uid="{AB2F3D43-0C00-46DA-A415-96FBDA5F5B15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8" authorId="0" shapeId="0" xr:uid="{00000000-0006-0000-0000-000031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8" authorId="0" shapeId="0" xr:uid="{7ACE95D5-00F6-41C8-A773-1D09690EDA62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59" authorId="0" shapeId="0" xr:uid="{00000000-0006-0000-0000-000032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59" authorId="0" shapeId="0" xr:uid="{36670754-C27D-415E-9264-3C24361A2A0F}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160" authorId="0" shapeId="0" xr:uid="{00000000-0006-0000-0000-000033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61" authorId="0" shapeId="0" xr:uid="{00000000-0006-0000-0000-000034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162" authorId="0" shapeId="0" xr:uid="{00000000-0006-0000-0000-000035000000}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175" authorId="0" shapeId="0" xr:uid="{00000000-0006-0000-0000-000036000000}">
      <text>
        <r>
          <rPr>
            <sz val="9"/>
            <color indexed="81"/>
            <rFont val="Tahoma"/>
            <family val="2"/>
          </rPr>
          <t>Informar o preço unitário do chassis do caminhão de coleta</t>
        </r>
      </text>
    </comment>
    <comment ref="C176" authorId="0" shapeId="0" xr:uid="{00000000-0006-0000-0000-000037000000}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177" authorId="0" shapeId="0" xr:uid="{00000000-0006-0000-0000-000038000000}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178" authorId="0" shapeId="0" xr:uid="{00000000-0006-0000-0000-000039000000}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1" authorId="0" shapeId="0" xr:uid="{00000000-0006-0000-0000-00003E000000}">
      <text>
        <r>
          <rPr>
            <sz val="9"/>
            <color indexed="81"/>
            <rFont val="Tahoma"/>
            <family val="2"/>
          </rPr>
          <t>Informar a quantidade de caminhões compactadores do respectivo modelo</t>
        </r>
      </text>
    </comment>
    <comment ref="C186" authorId="0" shapeId="0" xr:uid="{00000000-0006-0000-0000-00003F000000}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95" authorId="0" shapeId="0" xr:uid="{00000000-0006-0000-0000-000040000000}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196" authorId="0" shapeId="0" xr:uid="{00000000-0006-0000-0000-000041000000}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
</t>
        </r>
      </text>
    </comment>
    <comment ref="B202" authorId="0" shapeId="0" xr:uid="{00000000-0006-0000-0000-000042000000}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205" authorId="0" shapeId="0" xr:uid="{00000000-0006-0000-0000-000043000000}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205" authorId="0" shapeId="0" xr:uid="{00000000-0006-0000-0000-000044000000}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207" authorId="0" shapeId="0" xr:uid="{00000000-0006-0000-0000-000045000000}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207" authorId="0" shapeId="0" xr:uid="{00000000-0006-0000-0000-000046000000}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209" authorId="0" shapeId="0" xr:uid="{08481E41-7BAE-476D-AE1D-C1AFD195290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09" authorId="0" shapeId="0" xr:uid="{91D1241D-AC01-449F-8760-F21382DBBA46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11" authorId="0" shapeId="0" xr:uid="{00000000-0006-0000-0000-000047000000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1" authorId="0" shapeId="0" xr:uid="{00000000-0006-0000-0000-000048000000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213" authorId="0" shapeId="0" xr:uid="{BD85DAB3-00F1-484D-8065-9846FFC52F93}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213" authorId="0" shapeId="0" xr:uid="{03062519-ABB5-42E7-9C83-75310278B7ED}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D219" authorId="0" shapeId="0" xr:uid="{00000000-0006-0000-0000-000049000000}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D226" authorId="1" shapeId="0" xr:uid="{8D1FE6ED-E89D-4E8D-A088-CC4BF3B2402A}">
      <text>
        <r>
          <rPr>
            <sz val="9"/>
            <color rgb="FF000000"/>
            <rFont val="Tahoma"/>
            <family val="2"/>
            <charset val="1"/>
          </rPr>
          <t>Informar o preço unitário do chassis do caminhão de coleta</t>
        </r>
      </text>
    </comment>
    <comment ref="C227" authorId="1" shapeId="0" xr:uid="{67EA1A57-C8EB-4404-8BD8-6FB6B82EF33F}">
      <text>
        <r>
          <rPr>
            <sz val="9"/>
            <color rgb="FF000000"/>
            <rFont val="Tahoma"/>
            <family val="2"/>
            <charset val="1"/>
          </rPr>
          <t>Informar a vida útil estimada para o caminhão, em anos</t>
        </r>
      </text>
    </comment>
    <comment ref="C228" authorId="1" shapeId="0" xr:uid="{1BCE8405-8077-4FF6-8661-8E0093D03E2C}">
      <text>
        <r>
          <rPr>
            <sz val="9"/>
            <color rgb="FF000000"/>
            <rFont val="Tahoma"/>
            <family val="2"/>
            <charset val="1"/>
          </rPr>
          <t>Na elaboração do orçamento-base da licitação, informar 0 (zero). Na proposta da licitante, informar a idade do veículo proposto.</t>
        </r>
      </text>
    </comment>
    <comment ref="C229" authorId="1" shapeId="0" xr:uid="{00919A6D-B962-46A7-BCAF-8F9843BD4A64}">
      <text>
        <r>
          <rPr>
            <b/>
            <sz val="9"/>
            <color rgb="FF000000"/>
            <rFont val="Tahoma"/>
            <family val="2"/>
            <charset val="1"/>
          </rPr>
          <t xml:space="preserve">Informar o valor da depreciação do caminhão, adotando o valor sugerido pelo TCE ou outro valor estimado 
</t>
        </r>
      </text>
    </comment>
    <comment ref="C233" authorId="1" shapeId="0" xr:uid="{AD46B9E6-B767-4F89-B9ED-11F3728E7811}">
      <text>
        <r>
          <rPr>
            <sz val="9"/>
            <color rgb="FF000000"/>
            <rFont val="Tahoma"/>
            <family val="2"/>
            <charset val="1"/>
          </rPr>
          <t>Informar a quantidade de caminhões compactadores do respectivo modelo</t>
        </r>
      </text>
    </comment>
    <comment ref="C238" authorId="1" shapeId="0" xr:uid="{EABC1051-8286-4170-A4E1-0D5A7CA5A8AE}">
      <text>
        <r>
          <rPr>
            <b/>
            <sz val="9"/>
            <color rgb="FF000000"/>
            <rFont val="Tahoma"/>
            <family val="2"/>
            <charset val="1"/>
          </rPr>
          <t xml:space="preserve">Informar a taxa de juros anual para remuneração do capital. Recomenda-se o uso da Taxa SELIC
</t>
        </r>
      </text>
    </comment>
    <comment ref="D249" authorId="1" shapeId="0" xr:uid="{E4A06368-6661-42F3-B87C-B2ABD141658E}">
      <text>
        <r>
          <rPr>
            <sz val="9"/>
            <color rgb="FF000000"/>
            <rFont val="Tahoma"/>
            <family val="2"/>
            <charset val="1"/>
          </rPr>
          <t xml:space="preserve">Informar o valor do seguro obrigatório e licenciamento anual de um caminhão
</t>
        </r>
      </text>
    </comment>
    <comment ref="D250" authorId="1" shapeId="0" xr:uid="{1A6A5311-35EF-4DE8-A607-E7198D8A444A}">
      <text>
        <r>
          <rPr>
            <sz val="9"/>
            <color rgb="FF000000"/>
            <rFont val="Tahoma"/>
            <family val="2"/>
            <charset val="1"/>
          </rPr>
          <t xml:space="preserve">Informar o valor do seguro contra terceiros de um caminhão, se houver
</t>
        </r>
      </text>
    </comment>
    <comment ref="B255" authorId="1" shapeId="0" xr:uid="{DC7274B2-21A7-4A1A-BE42-8E766E25C03E}">
      <text>
        <r>
          <rPr>
            <sz val="9"/>
            <color rgb="FF000000"/>
            <rFont val="Tahoma"/>
            <family val="2"/>
            <charset val="1"/>
          </rPr>
          <t xml:space="preserve">Informar a quilometragem mensal percorrida, de acordo com o projeto básico
</t>
        </r>
      </text>
    </comment>
    <comment ref="C258" authorId="1" shapeId="0" xr:uid="{2FA6CC08-6DDA-47F2-B239-420BFDCDB212}">
      <text>
        <r>
          <rPr>
            <sz val="9"/>
            <color rgb="FF000000"/>
            <rFont val="Tahoma"/>
            <family val="2"/>
            <charset val="1"/>
          </rPr>
          <t>Informar o consumo estimado do veículo em km/l</t>
        </r>
      </text>
    </comment>
    <comment ref="D258" authorId="1" shapeId="0" xr:uid="{2DB2FED1-EF6C-4E3A-87ED-13AA0CBE2A32}">
      <text>
        <r>
          <rPr>
            <sz val="9"/>
            <color rgb="FF000000"/>
            <rFont val="Tahoma"/>
            <family val="2"/>
            <charset val="1"/>
          </rPr>
          <t xml:space="preserve">Informar o preço unitário do combustivel
</t>
        </r>
      </text>
    </comment>
    <comment ref="C260" authorId="1" shapeId="0" xr:uid="{2662C3AA-EF04-42F2-98B5-5F3019735FBA}">
      <text>
        <r>
          <rPr>
            <sz val="9"/>
            <color rgb="FF000000"/>
            <rFont val="Tahoma"/>
            <family val="2"/>
            <charset val="1"/>
          </rPr>
          <t>Informar o consumo de óleo do motor a cada 1000km</t>
        </r>
      </text>
    </comment>
    <comment ref="D260" authorId="1" shapeId="0" xr:uid="{1C529F9E-3053-430B-A927-2C4E03C3FAFA}">
      <text>
        <r>
          <rPr>
            <sz val="9"/>
            <color rgb="FF000000"/>
            <rFont val="Tahoma"/>
            <family val="2"/>
            <charset val="1"/>
          </rPr>
          <t xml:space="preserve">Informar o preço unitário do litro do óleo do motor
</t>
        </r>
      </text>
    </comment>
    <comment ref="D267" authorId="1" shapeId="0" xr:uid="{8461E93D-6614-4B00-821A-B6080285DEF3}">
      <text>
        <r>
          <rPr>
            <sz val="9"/>
            <color rgb="FF000000"/>
            <rFont val="Tahoma"/>
            <family val="2"/>
            <charset val="1"/>
          </rPr>
          <t xml:space="preserve">Informar o custo de manutenção em R$/km rodado
</t>
        </r>
      </text>
    </comment>
    <comment ref="C271" authorId="1" shapeId="0" xr:uid="{A3F0166F-6A98-486E-8AA7-C674840749A6}">
      <text>
        <r>
          <rPr>
            <sz val="9"/>
            <color rgb="FF000000"/>
            <rFont val="Tahoma"/>
            <family val="2"/>
            <charset val="1"/>
          </rPr>
          <t>Informar a quantidade de pneus novos de 1 caminhão</t>
        </r>
      </text>
    </comment>
    <comment ref="D271" authorId="1" shapeId="0" xr:uid="{B8C24A18-B4E6-4AF8-9EC8-0B1A3935303A}">
      <text>
        <r>
          <rPr>
            <sz val="9"/>
            <color rgb="FF000000"/>
            <rFont val="Tahoma"/>
            <family val="2"/>
            <charset val="1"/>
          </rPr>
          <t xml:space="preserve">Informar o preço unitário de cada pneu
</t>
        </r>
      </text>
    </comment>
    <comment ref="C284" authorId="1" shapeId="0" xr:uid="{0F46EE3B-A46D-4F07-939D-12EF9821EE4C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4" authorId="1" shapeId="0" xr:uid="{C008936E-1577-4297-863E-3E1BB8EDC58D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85" authorId="1" shapeId="0" xr:uid="{7A6A2B06-4B3D-4F09-9DBB-42B50025ED2A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5" authorId="1" shapeId="0" xr:uid="{371DE5D6-F4B4-41F3-92E4-5A282EBC808D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86" authorId="1" shapeId="0" xr:uid="{4EF14295-43BF-4B60-9E8E-A2F46BEF4D53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6" authorId="1" shapeId="0" xr:uid="{1C264A3F-295C-492B-9C29-7559771F2C36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87" authorId="1" shapeId="0" xr:uid="{CF6F5220-88F0-49B3-8DBA-BA74D4318F4B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7" authorId="1" shapeId="0" xr:uid="{2E532227-72CE-4294-9CEB-8BF546B99531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88" authorId="1" shapeId="0" xr:uid="{FAF4D69E-93E2-49FD-ACB5-2E21AFE4029C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8" authorId="1" shapeId="0" xr:uid="{96281450-704E-44D6-8DD8-31289E0F638F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89" authorId="1" shapeId="0" xr:uid="{D379C84E-38AA-474E-A140-5C5D07874FB6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89" authorId="1" shapeId="0" xr:uid="{583B7027-08A9-4278-B8A5-66F933FA29FE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90" authorId="1" shapeId="0" xr:uid="{0993B0DA-094E-452A-8B31-F927C424E442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90" authorId="1" shapeId="0" xr:uid="{32C164D9-AF31-4357-A6E8-393E49DFE8AD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C292" authorId="1" shapeId="0" xr:uid="{206091F9-4212-459E-BF40-2096641FED35}">
      <text>
        <r>
          <rPr>
            <sz val="9"/>
            <color rgb="FF000000"/>
            <rFont val="Tahoma"/>
            <family val="2"/>
            <charset val="1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292" authorId="1" shapeId="0" xr:uid="{B14FE4FE-6763-49E5-BE06-7E218A9458B7}">
      <text>
        <r>
          <rPr>
            <sz val="9"/>
            <color rgb="FF000000"/>
            <rFont val="Tahoma"/>
            <family val="2"/>
            <charset val="1"/>
          </rPr>
          <t>Informar o valor unitário estimado para aquisição de cada material</t>
        </r>
      </text>
    </comment>
    <comment ref="A296" authorId="0" shapeId="0" xr:uid="{00000000-0006-0000-0000-000059000000}">
      <text>
        <r>
          <rPr>
            <b/>
            <sz val="9"/>
            <color indexed="81"/>
            <rFont val="Tahoma"/>
            <family val="2"/>
          </rPr>
          <t>Especificar somente quando for exigido no Projeto Básico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99" authorId="0" shapeId="0" xr:uid="{00000000-0006-0000-0000-00005A000000}">
      <text>
        <r>
          <rPr>
            <sz val="9"/>
            <color indexed="81"/>
            <rFont val="Tahoma"/>
            <family val="2"/>
          </rPr>
          <t>Informar o valor total para instalação do equipamento de monitoramento da frota, se houver</t>
        </r>
      </text>
    </comment>
    <comment ref="D301" authorId="0" shapeId="0" xr:uid="{00000000-0006-0000-0000-00005B000000}">
      <text>
        <r>
          <rPr>
            <sz val="9"/>
            <color indexed="81"/>
            <rFont val="Tahoma"/>
            <family val="2"/>
          </rPr>
          <t>Informar o valor unitário mensal para manutenção dos equipamentos de monitoramento</t>
        </r>
      </text>
    </comment>
    <comment ref="C319" authorId="0" shapeId="0" xr:uid="{00000000-0006-0000-0000-00005C000000}">
      <text>
        <r>
          <rPr>
            <sz val="9"/>
            <color indexed="81"/>
            <rFont val="Tahoma"/>
            <family val="2"/>
          </rPr>
          <t>Preencher a aba 4.BDI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Jorge Mesquita</author>
  </authors>
  <commentList>
    <comment ref="G37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Jorge Mesquita:</t>
        </r>
        <r>
          <rPr>
            <sz val="9"/>
            <color indexed="81"/>
            <rFont val="Tahoma"/>
            <family val="2"/>
          </rPr>
          <t xml:space="preserve">
Criar um tipo de arredondamento.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C10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Informar o % de Administração Central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Informar o % de Seguros, Riscos e Garantia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Informar o % de Lucro estimado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3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Informar o valor anual da taxa SELIC</t>
        </r>
      </text>
    </comment>
    <comment ref="C14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Informar o percentual de ISS, de acordo com a legislação tributária do município onde serão prestados os serviços. De 2% até o limite de 5%.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4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Informar a média de dias úteis entre data de pagamento prevista no contrato e a data final do período de adimplemento da parcela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 xml:space="preserve">Informar o valor estimado de PIS/COFINS. </t>
        </r>
        <r>
          <rPr>
            <sz val="9"/>
            <color indexed="81"/>
            <rFont val="Tahoma"/>
            <family val="2"/>
          </rPr>
          <t xml:space="preserve">
1. Adotar 0,65% PIS + 3% COFINS quando o valor anual estimado do contrato for inferior ao limite para tributação pelo regime de incidência não-cumulativa (lucro presumido);
2. Adotar 1,65% PIS + 7,6% COFINS quando o valor anual estimado do contrato for superior ao limite para tributação pelo regime de incidência não-cumulativa (lucro real);</t>
        </r>
      </text>
    </comment>
  </commentList>
</comments>
</file>

<file path=xl/sharedStrings.xml><?xml version="1.0" encoding="utf-8"?>
<sst xmlns="http://schemas.openxmlformats.org/spreadsheetml/2006/main" count="619" uniqueCount="318">
  <si>
    <t>hora</t>
  </si>
  <si>
    <t>Adicional de Insalubridade</t>
  </si>
  <si>
    <t>%</t>
  </si>
  <si>
    <t>Soma</t>
  </si>
  <si>
    <t>Encargos Sociais</t>
  </si>
  <si>
    <t>Total do Efetivo</t>
  </si>
  <si>
    <t>homem</t>
  </si>
  <si>
    <t>mês</t>
  </si>
  <si>
    <t>vale</t>
  </si>
  <si>
    <t>unidade</t>
  </si>
  <si>
    <t>Colete reflexivo</t>
  </si>
  <si>
    <t>IPVA</t>
  </si>
  <si>
    <t>Impostos e seguros mensais</t>
  </si>
  <si>
    <t>Custo de óleo diesel / km rodado</t>
  </si>
  <si>
    <t>Custo mensal com óleo diesel</t>
  </si>
  <si>
    <t>km</t>
  </si>
  <si>
    <t>l/1.000 km</t>
  </si>
  <si>
    <t>Custo mensal com óleo do motor</t>
  </si>
  <si>
    <t>Custo mensal com óleo hidráulico</t>
  </si>
  <si>
    <t>Pá de Concha</t>
  </si>
  <si>
    <t>Calça</t>
  </si>
  <si>
    <t>Camiseta</t>
  </si>
  <si>
    <t>Boné</t>
  </si>
  <si>
    <t>Luva de proteção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</si>
  <si>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</si>
  <si>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</si>
  <si>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</si>
  <si>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</si>
  <si>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</si>
  <si>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</si>
  <si>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</si>
  <si>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</si>
  <si>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INSS</t>
  </si>
  <si>
    <t>FGTS</t>
  </si>
  <si>
    <t>Planilha de Composição de Custos</t>
  </si>
  <si>
    <t>2. Uniformes e Equipamentos de Proteção Individual</t>
  </si>
  <si>
    <t>3.1.1. Depreciação</t>
  </si>
  <si>
    <t>1. Mão-de-obra</t>
  </si>
  <si>
    <t>par</t>
  </si>
  <si>
    <t>frasco 120g</t>
  </si>
  <si>
    <t>3.1.3. Impostos e Seguros</t>
  </si>
  <si>
    <t>3.1.4. Consumos</t>
  </si>
  <si>
    <t>3.1.5. Manutenção</t>
  </si>
  <si>
    <t>Veículos e Equipamentos</t>
  </si>
  <si>
    <t>Publicidade (adesivos equipamentos)</t>
  </si>
  <si>
    <t>cj</t>
  </si>
  <si>
    <t>Total de mão-de-obra (postos de trabalho)</t>
  </si>
  <si>
    <t>Custo mensal com implantação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</si>
  <si>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</si>
  <si>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</si>
  <si>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</si>
  <si>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</si>
  <si>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</si>
  <si>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</si>
  <si>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</si>
  <si>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Recipiente térmico para água (5L)</t>
  </si>
  <si>
    <t>Total por Coletor</t>
  </si>
  <si>
    <t>4. Ferramentas e Materiais de Consumo</t>
  </si>
  <si>
    <t>5. Monitoramento da Frota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</si>
  <si>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</si>
  <si>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</si>
  <si>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</si>
  <si>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</si>
  <si>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</si>
  <si>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</si>
  <si>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</si>
  <si>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</si>
  <si>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</si>
  <si>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</si>
  <si>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Tributos - PIS/COFINS</t>
  </si>
  <si>
    <t>Fórmula para o cálculo do BDI:</t>
  </si>
  <si>
    <t>{[(1+AC+SRG) x (1+L) x (1+DF)] / (1-T)} -1</t>
  </si>
  <si>
    <t>Resultado do cálculo do BDI:</t>
  </si>
  <si>
    <t>Vale Transporte</t>
  </si>
  <si>
    <t>Dias Trabalhados por mês</t>
  </si>
  <si>
    <t>dia</t>
  </si>
  <si>
    <t>Custo Mensal com Mão-de-obra (R$/mês)</t>
  </si>
  <si>
    <t>Meia de algodão com cano alto</t>
  </si>
  <si>
    <t>Quantitativos</t>
  </si>
  <si>
    <t>Média</t>
  </si>
  <si>
    <t>anos</t>
  </si>
  <si>
    <t>Depreciação do chassis</t>
  </si>
  <si>
    <t>i = taxa de juros do mercado (sugere-se adotar a taxa SELIC)</t>
  </si>
  <si>
    <t>n = vida útil do bem em anos</t>
  </si>
  <si>
    <t>3.1.2. Remuneração do Capital</t>
  </si>
  <si>
    <t>Im = investimento médio</t>
  </si>
  <si>
    <t>Remuneração mensal de capital do chassis</t>
  </si>
  <si>
    <t>Admissões</t>
  </si>
  <si>
    <t>Desligamentos</t>
  </si>
  <si>
    <t>Dispensados com justa causa</t>
  </si>
  <si>
    <t>Dispensados sem justa causa</t>
  </si>
  <si>
    <t>Espontâneos</t>
  </si>
  <si>
    <t>Fim de contrato por prazo determinado</t>
  </si>
  <si>
    <t>Término de contrato</t>
  </si>
  <si>
    <t>Aposentados</t>
  </si>
  <si>
    <t>Mortos</t>
  </si>
  <si>
    <t>Transferência de saída</t>
  </si>
  <si>
    <t xml:space="preserve"> </t>
  </si>
  <si>
    <t>Indicadores</t>
  </si>
  <si>
    <t>Rotatividade</t>
  </si>
  <si>
    <t>Demitidos s/ Justa Causa em relação ao Estoque Médio</t>
  </si>
  <si>
    <t>Dias ano</t>
  </si>
  <si>
    <t>Estoque Médio</t>
  </si>
  <si>
    <t>Multa FGTS</t>
  </si>
  <si>
    <t>Fração de tempo para gozo férias</t>
  </si>
  <si>
    <t>Dias de Aviso prévio</t>
  </si>
  <si>
    <t>Código</t>
  </si>
  <si>
    <t>Descrição</t>
  </si>
  <si>
    <t>Valor</t>
  </si>
  <si>
    <t>A1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</si>
  <si>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</si>
  <si>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</si>
  <si>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</si>
  <si>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</si>
  <si>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</si>
  <si>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</si>
  <si>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</si>
  <si>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</si>
  <si>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</si>
  <si>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</si>
  <si>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</si>
  <si>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</si>
  <si>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</si>
  <si>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A</t>
  </si>
  <si>
    <t>SOMA GRUPO A</t>
  </si>
  <si>
    <t>B1</t>
  </si>
  <si>
    <t>Férias gozadas</t>
  </si>
  <si>
    <t>B2</t>
  </si>
  <si>
    <t>13º salário</t>
  </si>
  <si>
    <t>B4</t>
  </si>
  <si>
    <t>Licença Paternidade</t>
  </si>
  <si>
    <t>B5</t>
  </si>
  <si>
    <t>Faltas justificadas</t>
  </si>
  <si>
    <t>B6</t>
  </si>
  <si>
    <t>Auxilio acidente de trabalho</t>
  </si>
  <si>
    <t>Auxilio doença</t>
  </si>
  <si>
    <t>B</t>
  </si>
  <si>
    <t>SOMA GRUPO B</t>
  </si>
  <si>
    <t>C1</t>
  </si>
  <si>
    <t>Aviso prévio indenizado</t>
  </si>
  <si>
    <t>C3</t>
  </si>
  <si>
    <t xml:space="preserve">Férias indenizadas </t>
  </si>
  <si>
    <t>C4</t>
  </si>
  <si>
    <t>Férias indenizadas s/ aviso previo inden.</t>
  </si>
  <si>
    <t>C5</t>
  </si>
  <si>
    <t>Depósito rescisão sem justa causa</t>
  </si>
  <si>
    <t>Indenização adicional</t>
  </si>
  <si>
    <t>C</t>
  </si>
  <si>
    <t>SOMA GRUPO C</t>
  </si>
  <si>
    <t>D1</t>
  </si>
  <si>
    <t>Reincidência de Grupo A sobre Grupo B</t>
  </si>
  <si>
    <t>D2</t>
  </si>
  <si>
    <t>Reincidência de Grupo A sobre aviso prévio indenizado</t>
  </si>
  <si>
    <t>D</t>
  </si>
  <si>
    <t>SOMA GRUPO D</t>
  </si>
  <si>
    <t>SOMA (A+B+C+D)</t>
  </si>
  <si>
    <t>1° Quartil</t>
  </si>
  <si>
    <t>Médio</t>
  </si>
  <si>
    <t>3° Quartil</t>
  </si>
  <si>
    <t>SELIC</t>
  </si>
  <si>
    <t>DU</t>
  </si>
  <si>
    <t>Licenciamento e Seguro obrigatório</t>
  </si>
  <si>
    <t>Fator de utilização</t>
  </si>
  <si>
    <t>Fator de utilização (FU)</t>
  </si>
  <si>
    <t>Custo Mensal com Uniformes e EPIs (R$/mês)</t>
  </si>
  <si>
    <t>Descrição do Item</t>
  </si>
  <si>
    <t>Orçamento Sintético</t>
  </si>
  <si>
    <t>Orientações para preenchimento:</t>
  </si>
  <si>
    <t>2. Preencher somente células em amarelo</t>
  </si>
  <si>
    <t>Rio Grande do Sul  - Coleta de Resíduos Não-Perigosos - CNAE 38114</t>
  </si>
  <si>
    <t xml:space="preserve">1. Acesse o Portal do CAGED no link http://bi.mte.gov.br/cagedestabelecimento/pages/consulta.xhtml </t>
  </si>
  <si>
    <t>3. Nível Geográfico: selecione "Unidade da Federação" e marque a opção "Rio Grande do Sul"</t>
  </si>
  <si>
    <t>4. Nível Setorial: selecione "Classe de atividade econômica segundo a classificação CNAE – versão 2.0 (669 categorias)" e marque a opção "38114 – Coleta de Resíduos Não-Perigosos"</t>
  </si>
  <si>
    <t>5. Clique em Gerar Relatório</t>
  </si>
  <si>
    <t>Para preencher esta planilha siga os passos 1 a 5:</t>
  </si>
  <si>
    <t>Idade do veículo (ano)</t>
  </si>
  <si>
    <t>Idade do veículo</t>
  </si>
  <si>
    <t>Valor do veículo proposto (V0)</t>
  </si>
  <si>
    <t>Taxa de juros anual nominal</t>
  </si>
  <si>
    <t>Piso da categoria</t>
  </si>
  <si>
    <t>Base de cálculo da Insalubridade</t>
  </si>
  <si>
    <t>Descanso Semanal Remunerado (DSR) - hora extra</t>
  </si>
  <si>
    <t>C2</t>
  </si>
  <si>
    <t>B3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</si>
  <si>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</si>
  <si>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</si>
  <si>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</si>
  <si>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</si>
  <si>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</si>
  <si>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</si>
  <si>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</si>
  <si>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3. CAGED</t>
  </si>
  <si>
    <t>4. Composição do BDI - Benefícios e Despesas Indiretas</t>
  </si>
  <si>
    <t xml:space="preserve">2. Composição dos Encargos Sociais 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</si>
  <si>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</si>
  <si>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</si>
  <si>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</si>
  <si>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</si>
  <si>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</si>
  <si>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</si>
  <si>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</si>
  <si>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MENSAL COM BDI (R$/mês)</t>
  </si>
  <si>
    <t>CÁLCULO DAS VERBAS INDENIZATÓRIAS DOS EMPREGADOS NO SETOR DE COLETA DE RSU</t>
  </si>
  <si>
    <t>6. Preencha as células em amarelo</t>
  </si>
  <si>
    <t>1/3 de férias (dias)</t>
  </si>
  <si>
    <t>Férias (dias)</t>
  </si>
  <si>
    <t>13º Salário (dias)</t>
  </si>
  <si>
    <t>Referência estudo TCE</t>
  </si>
  <si>
    <t>1. Preencha previamente os dados de entrada na planilha 3.CAGED</t>
  </si>
  <si>
    <t>Rotatividade temporal (meses)</t>
  </si>
  <si>
    <t>1. Esta planilha é somente um modelo-base e deve ser ajustada conforme cada caso concreto.</t>
  </si>
  <si>
    <t>Fórmula de cálculo da remuneração de capital:</t>
  </si>
  <si>
    <t>Total por Motorista</t>
  </si>
  <si>
    <t>2. Na Especificação da Consulta, selecione "Demonstrativo por período" e informe as competências relativas ao período Inicial e Final (últimos 12 meses)</t>
  </si>
  <si>
    <t>Durabilidade (meses)</t>
  </si>
  <si>
    <t>Custo com consumos/km rodado</t>
  </si>
  <si>
    <t>Consumo</t>
  </si>
  <si>
    <t>Total por veículo</t>
  </si>
  <si>
    <t>Total da frota</t>
  </si>
  <si>
    <t>Variação Emprego Absoluta de 01-09-2016 a 31-08-2017</t>
  </si>
  <si>
    <t>Botina de segurança</t>
  </si>
  <si>
    <t>Estoque recuperado final do Período 31-03-2018</t>
  </si>
  <si>
    <t>Estoque recuperado início do Período 01-03-2017</t>
  </si>
  <si>
    <t>Coletor</t>
  </si>
  <si>
    <t>1.6. Auxílio Alimentação (mensal)</t>
  </si>
  <si>
    <t>Observações:</t>
  </si>
  <si>
    <t xml:space="preserve">Esta planilha é somente um modelo-base. </t>
  </si>
  <si>
    <t>Salário mínimo nacional</t>
  </si>
  <si>
    <t>*Piso da Categoria (2)</t>
  </si>
  <si>
    <r>
      <rPr>
        <b/>
        <sz val="10"/>
        <rFont val="Arial"/>
        <family val="2"/>
      </rPr>
      <t xml:space="preserve">Fontes consultadas: </t>
    </r>
    <r>
      <rPr>
        <sz val="10"/>
        <rFont val="Arial"/>
        <family val="2"/>
      </rPr>
      <t xml:space="preserve">
Orientação técnica para os serviços de coleta de resíduos sólidos domiciliares (Projeto, Contratação e Fiscalização) 1ª Edição 2017 – Tribunal de Contas do Estado do Rio Grande do Sul – TCE; Planilha de Composição de Custos para serviços de coleta de resíduos sólidos domiciliares - Tribunal de Contas do Estado do Rio Grande do Sul – TCE; Planilha para dimensionamento de frota - FUNASA; Convenção Coletiva de Trabalho 2018/2018 – Sindicato das Empresas de Asseio e Conservação do Estado do Rio Grande do Sul e Sindicato dos Trabalhadores das Empresas de Asseio, Conservação, Zeladoria, Reciclagem de Lixo, Limpeza Urbana, Ambiental e de Áreas Verdes e empresas de Serviços Terceirizados; Convenção Coletiva 2017-2019-Passo Fundo/RS - Sindicato das Empresas de Transportes de Carga e Logística no Estado do Rio Grande do Sul - SETCERGS; Acordo Coletivo de Trabalho 2017-2018 - Sindicatos do Engenheiros do Rio Grande do Sul – CREA/RS; IBGE; Banco Central do Brasil; CAGED; CEEE; Tabela FIPE; NR-6 Equipamentos de Proteção Individual; Google Mapas; Goolzoom; Atas de Registros Municipais referentes ao ano de 2018; Pedidos municipais referentes ao ano de 2018; Relatórios de pesagens de resíduos do Aterro Sanitário com contrato vigente, referentes aos anos de 2016, 2017 e 2018; e Orçamentos em mercado local, sites e empresas especializadas nas diversas áreas que compõem os serviços a serem contratados.
</t>
    </r>
  </si>
  <si>
    <t>Lixo Organico + seco</t>
  </si>
  <si>
    <t>Ton</t>
  </si>
  <si>
    <t>7. Benefícios e Despesas Indiretas - BDI</t>
  </si>
  <si>
    <t>6. Destinação Final</t>
  </si>
  <si>
    <t>Custo de óleo da transmissao/ 1.000 km</t>
  </si>
  <si>
    <t>Custo mensal com óleo da transmissao</t>
  </si>
  <si>
    <t>Custo da graxa/1.000km rodados</t>
  </si>
  <si>
    <t>Custo mensal com graxa</t>
  </si>
  <si>
    <t>Publicidade (campanhas educativas)</t>
  </si>
  <si>
    <t xml:space="preserve">mês </t>
  </si>
  <si>
    <t>Publicidade (adesivo veiculos</t>
  </si>
  <si>
    <t xml:space="preserve">Vassoura </t>
  </si>
  <si>
    <t xml:space="preserve">Higienização de uniformes </t>
  </si>
  <si>
    <t>R$ mensal</t>
  </si>
  <si>
    <t>Tenis de EVA para corrida</t>
  </si>
  <si>
    <t>Higienização de uniformes EPIs</t>
  </si>
  <si>
    <t>1.1. Serviços Gerais</t>
  </si>
  <si>
    <t>Serviços gerais</t>
  </si>
  <si>
    <t>2.1. Uniformes e EPIs para Serviços gerais</t>
  </si>
  <si>
    <t xml:space="preserve">Operação De Transbordo e Carregamento De Resíduos Sólidos Domiciliares Orgânico </t>
  </si>
  <si>
    <t xml:space="preserve">3.1 Escavadeira Hidraulica </t>
  </si>
  <si>
    <t>1.2  Operador de Escavadeira hidraulica</t>
  </si>
  <si>
    <t>operador</t>
  </si>
  <si>
    <t>Custo de aquisição de Escavadeira</t>
  </si>
  <si>
    <t>Custo da Escavadeira</t>
  </si>
  <si>
    <t>Investimento médio total da Escavadeira</t>
  </si>
  <si>
    <t>Seguro Total</t>
  </si>
  <si>
    <t>Horas a disposição</t>
  </si>
  <si>
    <t>h/t</t>
  </si>
  <si>
    <t xml:space="preserve">R$/h/t </t>
  </si>
  <si>
    <t>l/1.000 h</t>
  </si>
  <si>
    <t>Custo de óleo hidráulico / 1.000 h</t>
  </si>
  <si>
    <t xml:space="preserve">PREÇO POR TONELADA DE CARREGAMENTO E OPERAÇÃO DE TRANSBORDO R$ 24,98 </t>
  </si>
  <si>
    <t>3.1 Escavadeira Hidraulica</t>
  </si>
  <si>
    <t>Vida útil da maquina</t>
  </si>
  <si>
    <t>Custo de manutenção da Escavadeira</t>
  </si>
  <si>
    <t>R$/h t</t>
  </si>
  <si>
    <t xml:space="preserve">Quantidade de toneladas média </t>
  </si>
  <si>
    <t>Linha Telefônica</t>
  </si>
  <si>
    <t>Locação do Escritorio (taxa, Luz,agua)</t>
  </si>
  <si>
    <t xml:space="preserve">Locação Garagem Licenciada Caminhões </t>
  </si>
  <si>
    <t>1.3 Gerente Operacional</t>
  </si>
  <si>
    <t>Total por auxiliar</t>
  </si>
  <si>
    <r>
      <rPr>
        <b/>
        <sz val="9"/>
        <rFont val="Arial"/>
        <family val="2"/>
        <charset val="1"/>
      </rPr>
      <t xml:space="preserve">Total </t>
    </r>
    <r>
      <rPr>
        <b/>
        <u/>
        <sz val="9"/>
        <rFont val="Arial"/>
        <family val="2"/>
        <charset val="1"/>
      </rPr>
      <t>(R$)</t>
    </r>
  </si>
  <si>
    <t>1.4. Auxiliar Administrativo</t>
  </si>
  <si>
    <t>1.5. Vale Transporte</t>
  </si>
  <si>
    <t>1.6. Vale-refeição (diário)</t>
  </si>
  <si>
    <t>Auxiliar Administrativo</t>
  </si>
  <si>
    <t>Aux Administrativo</t>
  </si>
  <si>
    <t>Gerente operacional</t>
  </si>
  <si>
    <t>3. Veículos e Equipamentos</t>
  </si>
  <si>
    <r>
      <rPr>
        <b/>
        <sz val="10"/>
        <rFont val="Arial"/>
        <family val="2"/>
        <charset val="1"/>
      </rPr>
      <t xml:space="preserve">3.2 </t>
    </r>
    <r>
      <rPr>
        <sz val="10"/>
        <rFont val="Arial"/>
      </rPr>
      <t>VEÍCULO UTILITÁRIO</t>
    </r>
  </si>
  <si>
    <t>3.2.1. Depreciação</t>
  </si>
  <si>
    <t>Custo de aquisição do veiculo</t>
  </si>
  <si>
    <t>Vida útil do chassis</t>
  </si>
  <si>
    <t>Depreciação do veiculo</t>
  </si>
  <si>
    <t>Depreciação mensal para veículo reserva ( 10% da frota normal)</t>
  </si>
  <si>
    <t>Depreciação mensal veículo</t>
  </si>
  <si>
    <t>3.2.2. Remuneração do Capital</t>
  </si>
  <si>
    <t>Custo do chassis</t>
  </si>
  <si>
    <t>Investimento médio total do chassis</t>
  </si>
  <si>
    <t>Remuneração mensal de capital para veiculo reserva(10% da frota normal)</t>
  </si>
  <si>
    <t>Remuneração mensal de capital do veiculo</t>
  </si>
  <si>
    <t>3.2.3. Impostos e Seguros</t>
  </si>
  <si>
    <t>Seguro contra terceiros</t>
  </si>
  <si>
    <t>3.2.4. Consumos</t>
  </si>
  <si>
    <t>Quilometragem mensal</t>
  </si>
  <si>
    <t>Custo de gasolina/ km rodado</t>
  </si>
  <si>
    <t>km/l</t>
  </si>
  <si>
    <t>Custo mensal com gasolina</t>
  </si>
  <si>
    <t>R$/km rodado</t>
  </si>
  <si>
    <t>3.2.5. Manutenção</t>
  </si>
  <si>
    <t>Custo de manutenção do veiculo</t>
  </si>
  <si>
    <t>3.2.6. Pneus</t>
  </si>
  <si>
    <t>Custo do jogo de pneus aro 13</t>
  </si>
  <si>
    <t>Custo mensal com pneus</t>
  </si>
  <si>
    <t>Custo Mensal com Veículo Utilitário (R$/mês)</t>
  </si>
  <si>
    <t>Custo Mensal com Escavadeira Hidraulica (R$/mês)</t>
  </si>
  <si>
    <t>Depreciação mensal escavadeira</t>
  </si>
  <si>
    <t>2.2. Uniformes e EPIs para demais categorias</t>
  </si>
  <si>
    <t>,</t>
  </si>
  <si>
    <t>PREÇO TOTAL MENSAL COM OPERAÇÃO DE CARREGAMENTO E TRANSBORDO</t>
  </si>
  <si>
    <t>Desc. De 7% do salário base de serviços gerais</t>
  </si>
  <si>
    <t>Desc. de 7% do salário base de operador</t>
  </si>
  <si>
    <t>Desc. de 7% do salário base do aux administrativo</t>
  </si>
  <si>
    <t>Desc. de 7% do salário base do gerente operacional</t>
  </si>
  <si>
    <t>1.3  Gerente Operacional</t>
  </si>
  <si>
    <t>1.4  Auxiliar Administrativo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</si>
</sst>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&quot;R$&quot;\ #,##0.00;[Red]\-&quot;R$&quot;\ #,##0.00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0.0000"/>
    <numFmt numFmtId="170" formatCode="_(* #,##0_);_(* \(#,##0\);_(* \-??_);_(@_)"/>
    <numFmt numFmtId="171" formatCode="_(* #,##0.000_);_(* \(#,##0.000\);_(* \-??_);_(@_)"/>
    <numFmt numFmtId="172" formatCode="_-* #,##0.00_-;\-* #,##0.00_-;_-* \-??_-;_-@_-"/>
  </numFmts>
  <fonts count="3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b/>
      <sz val="11"/>
      <color theme="1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"/>
      <family val="2"/>
    </font>
    <font>
      <sz val="10"/>
      <color rgb="FF000000"/>
      <name val="Arial"/>
      <family val="2"/>
    </font>
    <font>
      <sz val="13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sz val="10"/>
      <name val="Arial"/>
      <family val="2"/>
      <charset val="1"/>
    </font>
    <font>
      <sz val="9"/>
      <color rgb="FF000000"/>
      <name val="Tahoma"/>
      <family val="2"/>
      <charset val="1"/>
    </font>
    <font>
      <b/>
      <sz val="10"/>
      <name val="Arial"/>
      <family val="2"/>
      <charset val="1"/>
    </font>
    <font>
      <b/>
      <sz val="9"/>
      <name val="Arial"/>
      <family val="2"/>
      <charset val="1"/>
    </font>
    <font>
      <b/>
      <u/>
      <sz val="9"/>
      <name val="Arial"/>
      <family val="2"/>
      <charset val="1"/>
    </font>
    <font>
      <u/>
      <sz val="10"/>
      <color rgb="FF0000FF"/>
      <name val="Arial"/>
      <family val="2"/>
      <charset val="1"/>
    </font>
    <font>
      <sz val="8"/>
      <name val="Arial"/>
      <family val="2"/>
      <charset val="1"/>
    </font>
    <font>
      <b/>
      <sz val="9"/>
      <color rgb="FF000000"/>
      <name val="Tahoma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C0C0C0"/>
        <bgColor rgb="FFBFBFBF"/>
      </patternFill>
    </fill>
    <fill>
      <patternFill patternType="solid">
        <fgColor rgb="FFFFFFFF"/>
        <bgColor rgb="FFEEECE1"/>
      </patternFill>
    </fill>
    <fill>
      <patternFill patternType="solid">
        <fgColor rgb="FFC6D9F1"/>
        <bgColor rgb="FFCFE7F5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79">
    <xf numFmtId="0" fontId="0" fillId="0" borderId="0" xfId="0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3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5" fontId="6" fillId="0" borderId="2" xfId="3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165" fontId="6" fillId="0" borderId="1" xfId="3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0" xfId="3" applyFont="1" applyAlignment="1">
      <alignment horizontal="center" vertical="center"/>
    </xf>
    <xf numFmtId="165" fontId="3" fillId="2" borderId="4" xfId="3" applyFont="1" applyFill="1" applyBorder="1" applyAlignment="1">
      <alignment horizontal="center" vertical="center"/>
    </xf>
    <xf numFmtId="165" fontId="3" fillId="2" borderId="4" xfId="3" applyFont="1" applyFill="1" applyBorder="1" applyAlignment="1">
      <alignment vertical="center"/>
    </xf>
    <xf numFmtId="165" fontId="3" fillId="0" borderId="0" xfId="3" applyFont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165" fontId="3" fillId="0" borderId="6" xfId="3" applyFont="1" applyBorder="1" applyAlignment="1">
      <alignment vertical="center"/>
    </xf>
    <xf numFmtId="165" fontId="3" fillId="0" borderId="7" xfId="3" applyFont="1" applyBorder="1" applyAlignment="1">
      <alignment vertical="center"/>
    </xf>
    <xf numFmtId="0" fontId="6" fillId="0" borderId="6" xfId="0" applyFont="1" applyBorder="1" applyAlignment="1">
      <alignment vertical="center"/>
    </xf>
    <xf numFmtId="165" fontId="6" fillId="0" borderId="6" xfId="3" applyFont="1" applyBorder="1" applyAlignment="1">
      <alignment vertical="center"/>
    </xf>
    <xf numFmtId="165" fontId="6" fillId="0" borderId="7" xfId="3" applyFont="1" applyBorder="1" applyAlignment="1">
      <alignment vertical="center"/>
    </xf>
    <xf numFmtId="165" fontId="3" fillId="0" borderId="0" xfId="3" applyFont="1" applyAlignment="1">
      <alignment horizontal="center" vertical="center"/>
    </xf>
    <xf numFmtId="3" fontId="6" fillId="0" borderId="0" xfId="0" applyNumberFormat="1" applyFont="1" applyAlignment="1">
      <alignment vertical="center"/>
    </xf>
    <xf numFmtId="165" fontId="5" fillId="0" borderId="0" xfId="3" applyFont="1" applyAlignment="1">
      <alignment vertical="center"/>
    </xf>
    <xf numFmtId="166" fontId="6" fillId="0" borderId="1" xfId="3" applyNumberFormat="1" applyFont="1" applyBorder="1" applyAlignment="1">
      <alignment vertical="center"/>
    </xf>
    <xf numFmtId="165" fontId="6" fillId="0" borderId="0" xfId="3" applyFont="1"/>
    <xf numFmtId="165" fontId="0" fillId="0" borderId="9" xfId="3" applyFont="1" applyBorder="1" applyAlignment="1">
      <alignment vertical="center"/>
    </xf>
    <xf numFmtId="165" fontId="3" fillId="0" borderId="10" xfId="3" applyFont="1" applyBorder="1" applyAlignment="1">
      <alignment horizontal="center" vertical="center"/>
    </xf>
    <xf numFmtId="165" fontId="3" fillId="0" borderId="5" xfId="3" applyFont="1" applyBorder="1" applyAlignment="1">
      <alignment horizontal="left" vertical="center"/>
    </xf>
    <xf numFmtId="4" fontId="3" fillId="0" borderId="6" xfId="0" applyNumberFormat="1" applyFont="1" applyBorder="1" applyAlignment="1">
      <alignment horizontal="centerContinuous" vertical="center"/>
    </xf>
    <xf numFmtId="165" fontId="0" fillId="0" borderId="8" xfId="0" applyNumberFormat="1" applyBorder="1" applyAlignment="1">
      <alignment vertical="center"/>
    </xf>
    <xf numFmtId="4" fontId="0" fillId="0" borderId="8" xfId="0" applyNumberFormat="1" applyBorder="1" applyAlignment="1">
      <alignment horizontal="centerContinuous" vertical="center"/>
    </xf>
    <xf numFmtId="165" fontId="0" fillId="0" borderId="8" xfId="3" applyFont="1" applyBorder="1" applyAlignment="1">
      <alignment vertical="center"/>
    </xf>
    <xf numFmtId="165" fontId="3" fillId="0" borderId="11" xfId="3" applyFont="1" applyBorder="1" applyAlignment="1">
      <alignment horizontal="right" vertical="center"/>
    </xf>
    <xf numFmtId="165" fontId="0" fillId="0" borderId="12" xfId="3" applyFont="1" applyBorder="1" applyAlignment="1">
      <alignment vertical="center"/>
    </xf>
    <xf numFmtId="165" fontId="6" fillId="0" borderId="1" xfId="3" applyFont="1" applyBorder="1" applyAlignment="1">
      <alignment vertical="center"/>
    </xf>
    <xf numFmtId="0" fontId="11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3" applyFont="1" applyAlignment="1">
      <alignment vertical="center"/>
    </xf>
    <xf numFmtId="10" fontId="0" fillId="0" borderId="13" xfId="2" applyNumberFormat="1" applyFont="1" applyBorder="1" applyAlignment="1">
      <alignment vertical="center"/>
    </xf>
    <xf numFmtId="0" fontId="13" fillId="2" borderId="14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165" fontId="13" fillId="2" borderId="15" xfId="3" applyFont="1" applyFill="1" applyBorder="1" applyAlignment="1">
      <alignment horizontal="center" vertical="center"/>
    </xf>
    <xf numFmtId="165" fontId="13" fillId="2" borderId="16" xfId="3" applyFont="1" applyFill="1" applyBorder="1" applyAlignment="1">
      <alignment horizontal="center" vertical="center"/>
    </xf>
    <xf numFmtId="165" fontId="3" fillId="0" borderId="17" xfId="3" applyFont="1" applyBorder="1" applyAlignment="1">
      <alignment horizontal="center" vertical="center"/>
    </xf>
    <xf numFmtId="165" fontId="1" fillId="0" borderId="12" xfId="3" applyBorder="1" applyAlignment="1">
      <alignment horizontal="left" vertical="center"/>
    </xf>
    <xf numFmtId="165" fontId="6" fillId="0" borderId="8" xfId="3" applyFont="1" applyBorder="1" applyAlignment="1">
      <alignment vertical="center"/>
    </xf>
    <xf numFmtId="165" fontId="6" fillId="0" borderId="12" xfId="3" applyFont="1" applyBorder="1" applyAlignment="1">
      <alignment vertical="center"/>
    </xf>
    <xf numFmtId="166" fontId="6" fillId="0" borderId="0" xfId="3" applyNumberFormat="1" applyFont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1" fontId="6" fillId="0" borderId="18" xfId="3" applyNumberFormat="1" applyFont="1" applyBorder="1" applyAlignment="1">
      <alignment horizontal="center" vertical="center"/>
    </xf>
    <xf numFmtId="165" fontId="3" fillId="0" borderId="26" xfId="3" applyFont="1" applyBorder="1" applyAlignment="1">
      <alignment vertical="center"/>
    </xf>
    <xf numFmtId="4" fontId="3" fillId="0" borderId="27" xfId="0" applyNumberFormat="1" applyFont="1" applyBorder="1" applyAlignment="1">
      <alignment vertical="center"/>
    </xf>
    <xf numFmtId="165" fontId="6" fillId="0" borderId="17" xfId="3" applyFont="1" applyBorder="1" applyAlignment="1">
      <alignment vertical="center"/>
    </xf>
    <xf numFmtId="165" fontId="6" fillId="0" borderId="9" xfId="3" applyFont="1" applyBorder="1" applyAlignment="1">
      <alignment vertical="center"/>
    </xf>
    <xf numFmtId="0" fontId="0" fillId="0" borderId="9" xfId="0" applyBorder="1" applyAlignment="1">
      <alignment vertical="center"/>
    </xf>
    <xf numFmtId="1" fontId="6" fillId="0" borderId="10" xfId="3" applyNumberFormat="1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27" xfId="0" applyBorder="1" applyAlignment="1">
      <alignment vertical="center"/>
    </xf>
    <xf numFmtId="1" fontId="3" fillId="0" borderId="29" xfId="3" applyNumberFormat="1" applyFont="1" applyBorder="1" applyAlignment="1">
      <alignment horizontal="center" vertical="center"/>
    </xf>
    <xf numFmtId="165" fontId="12" fillId="0" borderId="1" xfId="3" applyFont="1" applyBorder="1" applyAlignment="1">
      <alignment horizontal="center" vertical="center"/>
    </xf>
    <xf numFmtId="165" fontId="11" fillId="0" borderId="0" xfId="3" applyFont="1" applyAlignment="1">
      <alignment vertical="center"/>
    </xf>
    <xf numFmtId="43" fontId="6" fillId="0" borderId="0" xfId="0" applyNumberFormat="1" applyFont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165" fontId="6" fillId="3" borderId="2" xfId="3" applyFont="1" applyFill="1" applyBorder="1" applyAlignment="1">
      <alignment horizontal="center" vertical="center"/>
    </xf>
    <xf numFmtId="2" fontId="6" fillId="3" borderId="1" xfId="0" applyNumberFormat="1" applyFont="1" applyFill="1" applyBorder="1" applyAlignment="1">
      <alignment horizontal="center" vertical="center"/>
    </xf>
    <xf numFmtId="165" fontId="6" fillId="3" borderId="1" xfId="3" applyFont="1" applyFill="1" applyBorder="1" applyAlignment="1">
      <alignment horizontal="center" vertical="center"/>
    </xf>
    <xf numFmtId="1" fontId="6" fillId="3" borderId="1" xfId="0" applyNumberFormat="1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165" fontId="6" fillId="3" borderId="0" xfId="3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166" fontId="6" fillId="0" borderId="1" xfId="3" applyNumberFormat="1" applyFont="1" applyBorder="1" applyAlignment="1">
      <alignment horizontal="center" vertical="center"/>
    </xf>
    <xf numFmtId="13" fontId="6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5" fontId="3" fillId="0" borderId="1" xfId="3" applyFont="1" applyBorder="1" applyAlignment="1">
      <alignment horizontal="center" vertical="center"/>
    </xf>
    <xf numFmtId="0" fontId="8" fillId="0" borderId="0" xfId="1" applyAlignment="1" applyProtection="1">
      <alignment vertical="center"/>
    </xf>
    <xf numFmtId="0" fontId="3" fillId="0" borderId="0" xfId="0" applyFont="1"/>
    <xf numFmtId="0" fontId="13" fillId="2" borderId="30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165" fontId="13" fillId="2" borderId="31" xfId="3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vertical="center"/>
    </xf>
    <xf numFmtId="164" fontId="3" fillId="0" borderId="32" xfId="0" applyNumberFormat="1" applyFont="1" applyBorder="1" applyAlignment="1">
      <alignment vertical="center"/>
    </xf>
    <xf numFmtId="165" fontId="3" fillId="0" borderId="33" xfId="3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165" fontId="3" fillId="0" borderId="3" xfId="3" applyFont="1" applyBorder="1" applyAlignment="1">
      <alignment horizontal="center" vertical="center"/>
    </xf>
    <xf numFmtId="0" fontId="0" fillId="0" borderId="0" xfId="0" applyAlignment="1">
      <alignment horizontal="center"/>
    </xf>
    <xf numFmtId="165" fontId="6" fillId="0" borderId="0" xfId="3" applyFont="1" applyAlignment="1">
      <alignment horizontal="right" vertical="center"/>
    </xf>
    <xf numFmtId="165" fontId="3" fillId="2" borderId="7" xfId="3" applyFont="1" applyFill="1" applyBorder="1" applyAlignment="1">
      <alignment horizontal="center" vertical="center"/>
    </xf>
    <xf numFmtId="165" fontId="3" fillId="0" borderId="12" xfId="3" applyFont="1" applyBorder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3" fillId="0" borderId="8" xfId="3" applyFont="1" applyBorder="1" applyAlignment="1">
      <alignment vertical="center"/>
    </xf>
    <xf numFmtId="10" fontId="3" fillId="0" borderId="13" xfId="2" applyNumberFormat="1" applyFont="1" applyBorder="1" applyAlignment="1">
      <alignment vertical="center"/>
    </xf>
    <xf numFmtId="165" fontId="3" fillId="0" borderId="36" xfId="3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165" fontId="6" fillId="0" borderId="37" xfId="3" applyFont="1" applyBorder="1" applyAlignment="1">
      <alignment vertical="center"/>
    </xf>
    <xf numFmtId="165" fontId="6" fillId="0" borderId="39" xfId="3" applyFont="1" applyBorder="1" applyAlignment="1">
      <alignment vertical="center"/>
    </xf>
    <xf numFmtId="0" fontId="6" fillId="0" borderId="39" xfId="0" applyFont="1" applyBorder="1" applyAlignment="1">
      <alignment vertical="center"/>
    </xf>
    <xf numFmtId="1" fontId="6" fillId="0" borderId="35" xfId="3" applyNumberFormat="1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4" fontId="3" fillId="0" borderId="8" xfId="0" applyNumberFormat="1" applyFont="1" applyBorder="1" applyAlignment="1">
      <alignment horizontal="centerContinuous" vertical="center"/>
    </xf>
    <xf numFmtId="4" fontId="6" fillId="0" borderId="0" xfId="0" applyNumberFormat="1" applyFont="1" applyAlignment="1">
      <alignment vertical="center"/>
    </xf>
    <xf numFmtId="165" fontId="6" fillId="6" borderId="1" xfId="3" applyFont="1" applyFill="1" applyBorder="1" applyAlignment="1">
      <alignment horizontal="center" vertical="center"/>
    </xf>
    <xf numFmtId="9" fontId="3" fillId="0" borderId="16" xfId="2" applyFont="1" applyBorder="1" applyAlignment="1">
      <alignment vertical="center"/>
    </xf>
    <xf numFmtId="10" fontId="6" fillId="0" borderId="13" xfId="2" applyNumberFormat="1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center"/>
    </xf>
    <xf numFmtId="165" fontId="6" fillId="0" borderId="1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0" fillId="0" borderId="36" xfId="0" applyBorder="1" applyAlignment="1">
      <alignment vertical="center"/>
    </xf>
    <xf numFmtId="165" fontId="0" fillId="0" borderId="37" xfId="3" applyFont="1" applyBorder="1" applyAlignment="1">
      <alignment vertical="center"/>
    </xf>
    <xf numFmtId="166" fontId="3" fillId="0" borderId="0" xfId="3" applyNumberFormat="1" applyFont="1" applyAlignment="1">
      <alignment horizontal="center" vertical="center"/>
    </xf>
    <xf numFmtId="0" fontId="18" fillId="0" borderId="12" xfId="0" applyFont="1" applyBorder="1"/>
    <xf numFmtId="0" fontId="18" fillId="0" borderId="45" xfId="0" applyFont="1" applyBorder="1"/>
    <xf numFmtId="0" fontId="18" fillId="3" borderId="18" xfId="0" applyFont="1" applyFill="1" applyBorder="1"/>
    <xf numFmtId="0" fontId="18" fillId="0" borderId="21" xfId="0" applyFont="1" applyBorder="1"/>
    <xf numFmtId="0" fontId="18" fillId="0" borderId="49" xfId="0" applyFont="1" applyBorder="1"/>
    <xf numFmtId="0" fontId="18" fillId="0" borderId="46" xfId="0" applyFont="1" applyBorder="1"/>
    <xf numFmtId="0" fontId="18" fillId="0" borderId="50" xfId="0" applyFont="1" applyBorder="1"/>
    <xf numFmtId="0" fontId="18" fillId="0" borderId="18" xfId="0" applyFont="1" applyBorder="1"/>
    <xf numFmtId="0" fontId="18" fillId="0" borderId="26" xfId="0" applyFont="1" applyBorder="1"/>
    <xf numFmtId="2" fontId="19" fillId="7" borderId="1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center" vertical="center"/>
    </xf>
    <xf numFmtId="0" fontId="19" fillId="0" borderId="22" xfId="0" applyFont="1" applyBorder="1" applyAlignment="1">
      <alignment horizontal="center" vertical="center"/>
    </xf>
    <xf numFmtId="2" fontId="19" fillId="7" borderId="34" xfId="0" applyNumberFormat="1" applyFont="1" applyFill="1" applyBorder="1" applyAlignment="1">
      <alignment horizontal="right" vertical="center"/>
    </xf>
    <xf numFmtId="0" fontId="19" fillId="0" borderId="2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10" fontId="19" fillId="0" borderId="18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left" vertical="center"/>
    </xf>
    <xf numFmtId="10" fontId="23" fillId="0" borderId="18" xfId="0" applyNumberFormat="1" applyFont="1" applyBorder="1" applyAlignment="1">
      <alignment horizontal="right" vertical="center"/>
    </xf>
    <xf numFmtId="0" fontId="19" fillId="5" borderId="21" xfId="0" applyFont="1" applyFill="1" applyBorder="1" applyAlignment="1">
      <alignment horizontal="left" vertical="center"/>
    </xf>
    <xf numFmtId="0" fontId="23" fillId="5" borderId="1" xfId="0" applyFont="1" applyFill="1" applyBorder="1" applyAlignment="1">
      <alignment horizontal="left" vertical="center"/>
    </xf>
    <xf numFmtId="10" fontId="23" fillId="5" borderId="18" xfId="0" applyNumberFormat="1" applyFont="1" applyFill="1" applyBorder="1" applyAlignment="1">
      <alignment horizontal="right" vertical="center"/>
    </xf>
    <xf numFmtId="0" fontId="24" fillId="0" borderId="1" xfId="0" applyFont="1" applyBorder="1" applyAlignment="1">
      <alignment horizontal="left" vertical="center"/>
    </xf>
    <xf numFmtId="0" fontId="25" fillId="0" borderId="0" xfId="0" applyFont="1" applyAlignment="1">
      <alignment horizontal="left" vertical="center"/>
    </xf>
    <xf numFmtId="10" fontId="6" fillId="0" borderId="0" xfId="0" applyNumberFormat="1" applyFont="1"/>
    <xf numFmtId="9" fontId="19" fillId="0" borderId="0" xfId="2" applyFont="1" applyAlignment="1">
      <alignment horizontal="right" vertical="center"/>
    </xf>
    <xf numFmtId="0" fontId="19" fillId="0" borderId="1" xfId="0" applyFont="1" applyBorder="1" applyAlignment="1">
      <alignment horizontal="left" vertical="center" wrapText="1"/>
    </xf>
    <xf numFmtId="0" fontId="19" fillId="9" borderId="22" xfId="0" applyFont="1" applyFill="1" applyBorder="1" applyAlignment="1">
      <alignment horizontal="left" vertical="center"/>
    </xf>
    <xf numFmtId="0" fontId="23" fillId="9" borderId="34" xfId="0" applyFont="1" applyFill="1" applyBorder="1" applyAlignment="1">
      <alignment horizontal="left" vertical="center"/>
    </xf>
    <xf numFmtId="10" fontId="23" fillId="9" borderId="35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10" fontId="23" fillId="0" borderId="0" xfId="0" applyNumberFormat="1" applyFont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10" fontId="19" fillId="0" borderId="0" xfId="0" applyNumberFormat="1" applyFont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26" fillId="0" borderId="0" xfId="0" applyFont="1" applyAlignment="1">
      <alignment horizontal="justify" vertical="center"/>
    </xf>
    <xf numFmtId="0" fontId="8" fillId="0" borderId="0" xfId="1" applyAlignment="1" applyProtection="1">
      <alignment horizontal="left" vertical="center"/>
    </xf>
    <xf numFmtId="0" fontId="27" fillId="0" borderId="0" xfId="0" applyFont="1"/>
    <xf numFmtId="0" fontId="19" fillId="0" borderId="0" xfId="0" applyFont="1" applyAlignment="1">
      <alignment horizontal="right" vertical="center"/>
    </xf>
    <xf numFmtId="0" fontId="5" fillId="0" borderId="13" xfId="0" applyFont="1" applyBorder="1"/>
    <xf numFmtId="0" fontId="5" fillId="0" borderId="21" xfId="0" applyFont="1" applyBorder="1"/>
    <xf numFmtId="0" fontId="5" fillId="3" borderId="18" xfId="0" applyFont="1" applyFill="1" applyBorder="1"/>
    <xf numFmtId="0" fontId="5" fillId="0" borderId="45" xfId="0" applyFont="1" applyBorder="1"/>
    <xf numFmtId="0" fontId="5" fillId="3" borderId="46" xfId="0" applyFont="1" applyFill="1" applyBorder="1"/>
    <xf numFmtId="0" fontId="5" fillId="0" borderId="47" xfId="0" applyFont="1" applyBorder="1"/>
    <xf numFmtId="0" fontId="5" fillId="3" borderId="48" xfId="0" applyFont="1" applyFill="1" applyBorder="1"/>
    <xf numFmtId="0" fontId="5" fillId="0" borderId="36" xfId="0" applyFont="1" applyBorder="1"/>
    <xf numFmtId="0" fontId="5" fillId="0" borderId="37" xfId="0" applyFont="1" applyBorder="1"/>
    <xf numFmtId="0" fontId="7" fillId="0" borderId="46" xfId="0" applyFont="1" applyBorder="1"/>
    <xf numFmtId="9" fontId="7" fillId="0" borderId="46" xfId="0" applyNumberFormat="1" applyFont="1" applyBorder="1"/>
    <xf numFmtId="0" fontId="7" fillId="0" borderId="36" xfId="0" applyFont="1" applyBorder="1" applyAlignment="1">
      <alignment horizontal="left" vertical="center"/>
    </xf>
    <xf numFmtId="9" fontId="5" fillId="0" borderId="21" xfId="2" applyFont="1" applyBorder="1"/>
    <xf numFmtId="9" fontId="5" fillId="0" borderId="1" xfId="2" applyFont="1" applyBorder="1" applyAlignment="1">
      <alignment horizontal="center"/>
    </xf>
    <xf numFmtId="9" fontId="5" fillId="0" borderId="18" xfId="2" applyFont="1" applyBorder="1"/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center" vertical="center"/>
    </xf>
    <xf numFmtId="10" fontId="5" fillId="3" borderId="10" xfId="0" applyNumberFormat="1" applyFont="1" applyFill="1" applyBorder="1" applyAlignment="1">
      <alignment horizontal="center" vertical="center"/>
    </xf>
    <xf numFmtId="10" fontId="5" fillId="0" borderId="21" xfId="2" applyNumberFormat="1" applyFont="1" applyBorder="1"/>
    <xf numFmtId="10" fontId="5" fillId="0" borderId="18" xfId="2" applyNumberFormat="1" applyFont="1" applyBorder="1"/>
    <xf numFmtId="0" fontId="5" fillId="0" borderId="2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0" fontId="5" fillId="3" borderId="18" xfId="0" applyNumberFormat="1" applyFont="1" applyFill="1" applyBorder="1" applyAlignment="1">
      <alignment horizontal="center" vertical="center"/>
    </xf>
    <xf numFmtId="10" fontId="5" fillId="0" borderId="18" xfId="0" applyNumberFormat="1" applyFont="1" applyBorder="1" applyAlignment="1">
      <alignment horizontal="center" vertical="center"/>
    </xf>
    <xf numFmtId="10" fontId="5" fillId="3" borderId="1" xfId="2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0" borderId="18" xfId="0" applyFont="1" applyBorder="1"/>
    <xf numFmtId="0" fontId="5" fillId="0" borderId="22" xfId="0" applyFont="1" applyBorder="1" applyAlignment="1">
      <alignment horizontal="left" vertical="center"/>
    </xf>
    <xf numFmtId="10" fontId="5" fillId="3" borderId="3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3" xfId="0" applyFont="1" applyBorder="1" applyAlignment="1">
      <alignment vertical="center"/>
    </xf>
    <xf numFmtId="0" fontId="5" fillId="0" borderId="24" xfId="0" applyFont="1" applyBorder="1" applyAlignment="1">
      <alignment vertical="center"/>
    </xf>
    <xf numFmtId="10" fontId="5" fillId="0" borderId="25" xfId="0" applyNumberFormat="1" applyFont="1" applyBorder="1" applyAlignment="1">
      <alignment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vertical="center"/>
    </xf>
    <xf numFmtId="0" fontId="7" fillId="5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/>
    </xf>
    <xf numFmtId="10" fontId="7" fillId="5" borderId="7" xfId="0" applyNumberFormat="1" applyFont="1" applyFill="1" applyBorder="1" applyAlignment="1">
      <alignment horizontal="center" vertical="center" wrapText="1"/>
    </xf>
    <xf numFmtId="10" fontId="5" fillId="0" borderId="21" xfId="2" applyNumberFormat="1" applyFont="1" applyBorder="1" applyAlignment="1">
      <alignment horizontal="right"/>
    </xf>
    <xf numFmtId="10" fontId="5" fillId="0" borderId="1" xfId="2" applyNumberFormat="1" applyFont="1" applyBorder="1" applyAlignment="1">
      <alignment horizontal="right"/>
    </xf>
    <xf numFmtId="10" fontId="5" fillId="0" borderId="18" xfId="2" applyNumberFormat="1" applyFont="1" applyBorder="1" applyAlignment="1">
      <alignment horizontal="right"/>
    </xf>
    <xf numFmtId="10" fontId="5" fillId="0" borderId="22" xfId="2" applyNumberFormat="1" applyFont="1" applyBorder="1" applyAlignment="1">
      <alignment horizontal="right"/>
    </xf>
    <xf numFmtId="10" fontId="5" fillId="0" borderId="34" xfId="2" applyNumberFormat="1" applyFont="1" applyBorder="1" applyAlignment="1">
      <alignment horizontal="right"/>
    </xf>
    <xf numFmtId="10" fontId="5" fillId="0" borderId="35" xfId="2" applyNumberFormat="1" applyFont="1" applyBorder="1" applyAlignment="1">
      <alignment horizontal="right"/>
    </xf>
    <xf numFmtId="0" fontId="6" fillId="0" borderId="52" xfId="0" applyFont="1" applyBorder="1"/>
    <xf numFmtId="0" fontId="20" fillId="0" borderId="52" xfId="0" applyFont="1" applyBorder="1" applyAlignment="1">
      <alignment horizontal="justify"/>
    </xf>
    <xf numFmtId="0" fontId="20" fillId="0" borderId="53" xfId="0" applyFont="1" applyBorder="1" applyAlignment="1">
      <alignment horizontal="justify"/>
    </xf>
    <xf numFmtId="0" fontId="17" fillId="10" borderId="51" xfId="0" applyFont="1" applyFill="1" applyBorder="1" applyAlignment="1">
      <alignment horizontal="center"/>
    </xf>
    <xf numFmtId="168" fontId="3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3" fillId="0" borderId="34" xfId="0" applyNumberFormat="1" applyFont="1" applyBorder="1" applyAlignment="1">
      <alignment vertical="center"/>
    </xf>
    <xf numFmtId="165" fontId="3" fillId="0" borderId="9" xfId="3" applyFont="1" applyBorder="1" applyAlignment="1">
      <alignment vertical="center"/>
    </xf>
    <xf numFmtId="165" fontId="3" fillId="0" borderId="5" xfId="3" applyFont="1" applyBorder="1" applyAlignment="1">
      <alignment vertical="center"/>
    </xf>
    <xf numFmtId="9" fontId="3" fillId="3" borderId="7" xfId="2" applyFont="1" applyFill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7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0" borderId="8" xfId="3" applyFont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 wrapText="1"/>
    </xf>
    <xf numFmtId="166" fontId="3" fillId="0" borderId="1" xfId="3" applyNumberFormat="1" applyFont="1" applyBorder="1" applyAlignment="1">
      <alignment horizontal="center" vertical="center"/>
    </xf>
    <xf numFmtId="167" fontId="3" fillId="0" borderId="1" xfId="3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/>
    <xf numFmtId="169" fontId="18" fillId="0" borderId="46" xfId="0" applyNumberFormat="1" applyFont="1" applyBorder="1"/>
    <xf numFmtId="169" fontId="7" fillId="0" borderId="46" xfId="0" applyNumberFormat="1" applyFont="1" applyBorder="1"/>
    <xf numFmtId="169" fontId="7" fillId="0" borderId="29" xfId="0" applyNumberFormat="1" applyFont="1" applyBorder="1"/>
    <xf numFmtId="0" fontId="3" fillId="0" borderId="54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165" fontId="3" fillId="0" borderId="54" xfId="3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1" fillId="3" borderId="1" xfId="0" applyNumberFormat="1" applyFont="1" applyFill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5" fontId="1" fillId="0" borderId="0" xfId="3" applyAlignment="1">
      <alignment vertical="center"/>
    </xf>
    <xf numFmtId="165" fontId="1" fillId="0" borderId="12" xfId="3" applyBorder="1" applyAlignment="1">
      <alignment vertical="center"/>
    </xf>
    <xf numFmtId="165" fontId="1" fillId="0" borderId="38" xfId="3" applyBorder="1" applyAlignment="1">
      <alignment vertical="center"/>
    </xf>
    <xf numFmtId="165" fontId="13" fillId="8" borderId="16" xfId="3" applyFont="1" applyFill="1" applyBorder="1" applyAlignment="1">
      <alignment horizontal="center" vertical="center"/>
    </xf>
    <xf numFmtId="165" fontId="6" fillId="8" borderId="4" xfId="3" applyFont="1" applyFill="1" applyBorder="1" applyAlignment="1">
      <alignment vertical="center"/>
    </xf>
    <xf numFmtId="165" fontId="3" fillId="8" borderId="4" xfId="3" applyFont="1" applyFill="1" applyBorder="1" applyAlignment="1">
      <alignment vertical="center"/>
    </xf>
    <xf numFmtId="168" fontId="3" fillId="0" borderId="3" xfId="0" applyNumberFormat="1" applyFont="1" applyBorder="1" applyAlignment="1">
      <alignment vertical="center"/>
    </xf>
    <xf numFmtId="4" fontId="1" fillId="3" borderId="2" xfId="0" applyNumberFormat="1" applyFont="1" applyFill="1" applyBorder="1" applyAlignment="1">
      <alignment horizontal="center" vertical="center"/>
    </xf>
    <xf numFmtId="167" fontId="1" fillId="3" borderId="2" xfId="3" applyNumberFormat="1" applyFill="1" applyBorder="1" applyAlignment="1">
      <alignment horizontal="center" vertical="center"/>
    </xf>
    <xf numFmtId="0" fontId="6" fillId="0" borderId="1" xfId="3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3" applyNumberFormat="1" applyFont="1" applyBorder="1" applyAlignment="1">
      <alignment horizontal="right" vertical="center"/>
    </xf>
    <xf numFmtId="165" fontId="6" fillId="3" borderId="1" xfId="3" applyFont="1" applyFill="1" applyBorder="1" applyAlignment="1">
      <alignment horizontal="right" vertical="center"/>
    </xf>
    <xf numFmtId="165" fontId="6" fillId="4" borderId="0" xfId="3" applyFont="1" applyFill="1" applyAlignment="1">
      <alignment vertical="center"/>
    </xf>
    <xf numFmtId="43" fontId="6" fillId="0" borderId="1" xfId="3" applyNumberFormat="1" applyFont="1" applyBorder="1" applyAlignment="1">
      <alignment horizontal="right" vertical="center"/>
    </xf>
    <xf numFmtId="165" fontId="1" fillId="0" borderId="9" xfId="3" applyFont="1" applyBorder="1" applyAlignment="1">
      <alignment vertical="center"/>
    </xf>
    <xf numFmtId="165" fontId="1" fillId="0" borderId="8" xfId="3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8" fontId="4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5" fontId="29" fillId="0" borderId="0" xfId="3" applyFont="1" applyAlignment="1">
      <alignment vertical="center"/>
    </xf>
    <xf numFmtId="10" fontId="6" fillId="6" borderId="1" xfId="3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3" fontId="0" fillId="11" borderId="1" xfId="0" applyNumberFormat="1" applyFill="1" applyBorder="1" applyAlignment="1">
      <alignment horizontal="center" vertical="center"/>
    </xf>
    <xf numFmtId="165" fontId="0" fillId="11" borderId="2" xfId="3" applyFont="1" applyFill="1" applyBorder="1" applyAlignment="1" applyProtection="1">
      <alignment horizontal="center" vertical="center"/>
    </xf>
    <xf numFmtId="165" fontId="0" fillId="0" borderId="1" xfId="3" applyFont="1" applyBorder="1" applyAlignment="1" applyProtection="1">
      <alignment horizontal="center" vertical="center"/>
    </xf>
    <xf numFmtId="13" fontId="0" fillId="11" borderId="1" xfId="0" applyNumberForma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5" fontId="0" fillId="0" borderId="2" xfId="3" applyFont="1" applyBorder="1" applyAlignment="1" applyProtection="1">
      <alignment horizontal="center" vertical="center"/>
    </xf>
    <xf numFmtId="2" fontId="0" fillId="11" borderId="1" xfId="0" applyNumberFormat="1" applyFill="1" applyBorder="1" applyAlignment="1">
      <alignment horizontal="center" vertical="center"/>
    </xf>
    <xf numFmtId="0" fontId="32" fillId="0" borderId="3" xfId="0" applyFont="1" applyBorder="1" applyAlignment="1">
      <alignment vertical="center"/>
    </xf>
    <xf numFmtId="0" fontId="32" fillId="0" borderId="0" xfId="0" applyFont="1" applyAlignment="1">
      <alignment horizontal="center" vertical="center"/>
    </xf>
    <xf numFmtId="165" fontId="32" fillId="0" borderId="0" xfId="3" applyFont="1" applyBorder="1" applyAlignment="1" applyProtection="1">
      <alignment horizontal="center" vertical="center"/>
    </xf>
    <xf numFmtId="165" fontId="32" fillId="0" borderId="3" xfId="3" applyFont="1" applyBorder="1" applyAlignment="1" applyProtection="1">
      <alignment horizontal="center" vertical="center"/>
    </xf>
    <xf numFmtId="165" fontId="32" fillId="0" borderId="0" xfId="3" applyFont="1" applyBorder="1" applyAlignment="1" applyProtection="1">
      <alignment vertical="center"/>
    </xf>
    <xf numFmtId="0" fontId="0" fillId="11" borderId="1" xfId="0" applyFill="1" applyBorder="1" applyAlignment="1">
      <alignment horizontal="center" vertical="center"/>
    </xf>
    <xf numFmtId="165" fontId="0" fillId="0" borderId="0" xfId="3" applyFont="1" applyBorder="1" applyAlignment="1" applyProtection="1">
      <alignment horizontal="right" vertical="center"/>
    </xf>
    <xf numFmtId="165" fontId="0" fillId="0" borderId="1" xfId="3" applyFont="1" applyBorder="1" applyAlignment="1" applyProtection="1">
      <alignment vertical="center"/>
    </xf>
    <xf numFmtId="165" fontId="32" fillId="12" borderId="7" xfId="3" applyFont="1" applyFill="1" applyBorder="1" applyAlignment="1" applyProtection="1">
      <alignment horizontal="center" vertical="center"/>
    </xf>
    <xf numFmtId="10" fontId="0" fillId="0" borderId="1" xfId="3" applyNumberFormat="1" applyFont="1" applyBorder="1" applyAlignment="1" applyProtection="1">
      <alignment horizontal="center" vertical="center"/>
    </xf>
    <xf numFmtId="165" fontId="0" fillId="0" borderId="0" xfId="3" applyFont="1" applyBorder="1" applyAlignment="1" applyProtection="1">
      <alignment vertical="center"/>
    </xf>
    <xf numFmtId="0" fontId="33" fillId="12" borderId="14" xfId="0" applyFont="1" applyFill="1" applyBorder="1" applyAlignment="1">
      <alignment horizontal="center" vertical="center"/>
    </xf>
    <xf numFmtId="0" fontId="33" fillId="12" borderId="15" xfId="0" applyFont="1" applyFill="1" applyBorder="1" applyAlignment="1">
      <alignment horizontal="center" vertical="center"/>
    </xf>
    <xf numFmtId="165" fontId="33" fillId="12" borderId="15" xfId="3" applyFont="1" applyFill="1" applyBorder="1" applyAlignment="1" applyProtection="1">
      <alignment horizontal="center" vertical="center"/>
    </xf>
    <xf numFmtId="165" fontId="33" fillId="12" borderId="16" xfId="3" applyFont="1" applyFill="1" applyBorder="1" applyAlignment="1" applyProtection="1">
      <alignment horizontal="center" vertical="center"/>
    </xf>
    <xf numFmtId="165" fontId="1" fillId="0" borderId="0" xfId="3" applyFont="1" applyBorder="1" applyAlignment="1" applyProtection="1">
      <alignment vertical="center"/>
    </xf>
    <xf numFmtId="170" fontId="0" fillId="0" borderId="1" xfId="3" applyNumberFormat="1" applyFont="1" applyBorder="1" applyAlignment="1" applyProtection="1">
      <alignment horizontal="center" vertical="center"/>
    </xf>
    <xf numFmtId="165" fontId="0" fillId="11" borderId="1" xfId="3" applyFont="1" applyFill="1" applyBorder="1" applyAlignment="1" applyProtection="1">
      <alignment horizontal="center" vertical="center"/>
    </xf>
    <xf numFmtId="0" fontId="0" fillId="0" borderId="3" xfId="0" applyBorder="1" applyAlignment="1">
      <alignment horizontal="center" vertical="center"/>
    </xf>
    <xf numFmtId="170" fontId="0" fillId="0" borderId="3" xfId="3" applyNumberFormat="1" applyFont="1" applyBorder="1" applyAlignment="1" applyProtection="1">
      <alignment horizontal="center" vertical="center"/>
    </xf>
    <xf numFmtId="165" fontId="0" fillId="11" borderId="3" xfId="3" applyFont="1" applyFill="1" applyBorder="1" applyAlignment="1" applyProtection="1">
      <alignment horizontal="center" vertical="center"/>
    </xf>
    <xf numFmtId="165" fontId="0" fillId="0" borderId="3" xfId="3" applyFont="1" applyBorder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35" fillId="13" borderId="0" xfId="1" applyFont="1" applyFill="1" applyBorder="1" applyAlignment="1" applyProtection="1">
      <alignment vertical="center"/>
    </xf>
    <xf numFmtId="3" fontId="0" fillId="11" borderId="2" xfId="3" applyNumberFormat="1" applyFont="1" applyFill="1" applyBorder="1" applyAlignment="1" applyProtection="1">
      <alignment horizontal="center" vertical="center"/>
    </xf>
    <xf numFmtId="165" fontId="0" fillId="0" borderId="0" xfId="3" applyFont="1" applyBorder="1" applyAlignment="1" applyProtection="1">
      <alignment horizontal="center" vertical="center"/>
    </xf>
    <xf numFmtId="165" fontId="0" fillId="14" borderId="1" xfId="3" applyFont="1" applyFill="1" applyBorder="1" applyAlignment="1" applyProtection="1">
      <alignment horizontal="center" vertical="center"/>
    </xf>
    <xf numFmtId="3" fontId="0" fillId="0" borderId="1" xfId="3" applyNumberFormat="1" applyFont="1" applyBorder="1" applyAlignment="1" applyProtection="1">
      <alignment horizontal="center" vertical="center"/>
    </xf>
    <xf numFmtId="0" fontId="32" fillId="0" borderId="54" xfId="0" applyFont="1" applyBorder="1" applyAlignment="1">
      <alignment vertical="center"/>
    </xf>
    <xf numFmtId="0" fontId="32" fillId="0" borderId="54" xfId="0" applyFont="1" applyBorder="1" applyAlignment="1">
      <alignment horizontal="center" vertical="center"/>
    </xf>
    <xf numFmtId="3" fontId="32" fillId="0" borderId="54" xfId="3" applyNumberFormat="1" applyFont="1" applyBorder="1" applyAlignment="1" applyProtection="1">
      <alignment horizontal="center" vertical="center"/>
    </xf>
    <xf numFmtId="165" fontId="32" fillId="0" borderId="54" xfId="3" applyFont="1" applyBorder="1" applyAlignment="1" applyProtection="1">
      <alignment horizontal="center" vertical="center"/>
    </xf>
    <xf numFmtId="0" fontId="32" fillId="0" borderId="1" xfId="0" applyFont="1" applyBorder="1" applyAlignment="1">
      <alignment vertical="center"/>
    </xf>
    <xf numFmtId="0" fontId="32" fillId="0" borderId="1" xfId="0" applyFont="1" applyBorder="1" applyAlignment="1">
      <alignment horizontal="center" vertical="center"/>
    </xf>
    <xf numFmtId="165" fontId="32" fillId="0" borderId="1" xfId="3" applyFont="1" applyBorder="1" applyAlignment="1" applyProtection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65" fontId="32" fillId="12" borderId="4" xfId="3" applyFont="1" applyFill="1" applyBorder="1" applyAlignment="1" applyProtection="1">
      <alignment horizontal="center" vertical="center"/>
    </xf>
    <xf numFmtId="0" fontId="33" fillId="12" borderId="30" xfId="0" applyFont="1" applyFill="1" applyBorder="1" applyAlignment="1">
      <alignment horizontal="center" vertical="center"/>
    </xf>
    <xf numFmtId="0" fontId="33" fillId="12" borderId="31" xfId="0" applyFont="1" applyFill="1" applyBorder="1" applyAlignment="1">
      <alignment horizontal="center" vertical="center"/>
    </xf>
    <xf numFmtId="165" fontId="33" fillId="12" borderId="31" xfId="3" applyFont="1" applyFill="1" applyBorder="1" applyAlignment="1" applyProtection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33" fillId="0" borderId="54" xfId="0" applyFont="1" applyBorder="1" applyAlignment="1">
      <alignment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11" borderId="1" xfId="0" applyNumberFormat="1" applyFill="1" applyBorder="1" applyAlignment="1">
      <alignment vertical="center"/>
    </xf>
    <xf numFmtId="4" fontId="0" fillId="11" borderId="2" xfId="0" applyNumberFormat="1" applyFill="1" applyBorder="1" applyAlignment="1">
      <alignment horizontal="center" vertical="center"/>
    </xf>
    <xf numFmtId="171" fontId="0" fillId="11" borderId="2" xfId="3" applyNumberFormat="1" applyFont="1" applyFill="1" applyBorder="1" applyAlignment="1" applyProtection="1">
      <alignment horizontal="center" vertical="center"/>
    </xf>
    <xf numFmtId="171" fontId="0" fillId="0" borderId="2" xfId="3" applyNumberFormat="1" applyFont="1" applyBorder="1" applyAlignment="1" applyProtection="1">
      <alignment horizontal="center" vertical="center"/>
    </xf>
    <xf numFmtId="4" fontId="0" fillId="11" borderId="1" xfId="0" applyNumberFormat="1" applyFill="1" applyBorder="1" applyAlignment="1">
      <alignment horizontal="center" vertical="center"/>
    </xf>
    <xf numFmtId="172" fontId="0" fillId="0" borderId="1" xfId="3" applyNumberFormat="1" applyFont="1" applyBorder="1" applyAlignment="1" applyProtection="1">
      <alignment horizontal="right" vertical="center"/>
    </xf>
    <xf numFmtId="170" fontId="32" fillId="0" borderId="1" xfId="3" applyNumberFormat="1" applyFont="1" applyBorder="1" applyAlignment="1" applyProtection="1">
      <alignment horizontal="center" vertical="center"/>
    </xf>
    <xf numFmtId="171" fontId="32" fillId="0" borderId="1" xfId="3" applyNumberFormat="1" applyFont="1" applyBorder="1" applyAlignment="1" applyProtection="1">
      <alignment horizontal="center" vertical="center"/>
    </xf>
    <xf numFmtId="0" fontId="0" fillId="11" borderId="2" xfId="0" applyFill="1" applyBorder="1" applyAlignment="1">
      <alignment horizontal="center" vertical="center"/>
    </xf>
    <xf numFmtId="0" fontId="0" fillId="13" borderId="0" xfId="0" applyFill="1" applyAlignment="1">
      <alignment vertical="center"/>
    </xf>
    <xf numFmtId="0" fontId="0" fillId="13" borderId="0" xfId="0" applyFill="1" applyAlignment="1">
      <alignment horizontal="center" vertical="center"/>
    </xf>
    <xf numFmtId="165" fontId="0" fillId="13" borderId="0" xfId="3" applyFont="1" applyFill="1" applyBorder="1" applyAlignment="1" applyProtection="1">
      <alignment horizontal="right" vertical="center"/>
    </xf>
    <xf numFmtId="165" fontId="0" fillId="13" borderId="0" xfId="3" applyFont="1" applyFill="1" applyBorder="1" applyAlignment="1" applyProtection="1">
      <alignment vertical="center"/>
    </xf>
    <xf numFmtId="165" fontId="32" fillId="13" borderId="0" xfId="3" applyFont="1" applyFill="1" applyBorder="1" applyAlignment="1" applyProtection="1">
      <alignment horizontal="center" vertical="center"/>
    </xf>
    <xf numFmtId="0" fontId="32" fillId="0" borderId="5" xfId="0" applyFont="1" applyBorder="1" applyAlignment="1">
      <alignment vertical="center"/>
    </xf>
    <xf numFmtId="0" fontId="32" fillId="0" borderId="6" xfId="0" applyFont="1" applyBorder="1" applyAlignment="1">
      <alignment vertical="center"/>
    </xf>
    <xf numFmtId="0" fontId="32" fillId="0" borderId="6" xfId="0" applyFont="1" applyBorder="1" applyAlignment="1">
      <alignment horizontal="center" vertical="center"/>
    </xf>
    <xf numFmtId="165" fontId="32" fillId="0" borderId="6" xfId="3" applyFont="1" applyBorder="1" applyAlignment="1" applyProtection="1">
      <alignment vertical="center"/>
    </xf>
    <xf numFmtId="165" fontId="32" fillId="0" borderId="7" xfId="3" applyFont="1" applyBorder="1" applyAlignment="1" applyProtection="1">
      <alignment vertical="center"/>
    </xf>
    <xf numFmtId="165" fontId="1" fillId="0" borderId="0" xfId="3" applyFont="1" applyAlignment="1">
      <alignment vertical="center"/>
    </xf>
    <xf numFmtId="165" fontId="1" fillId="0" borderId="2" xfId="3" applyFont="1" applyFill="1" applyBorder="1" applyAlignment="1">
      <alignment horizontal="center" vertical="center"/>
    </xf>
    <xf numFmtId="167" fontId="1" fillId="0" borderId="2" xfId="3" applyNumberFormat="1" applyFont="1" applyBorder="1" applyAlignment="1">
      <alignment horizontal="center" vertical="center"/>
    </xf>
    <xf numFmtId="0" fontId="0" fillId="0" borderId="55" xfId="0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165" fontId="3" fillId="0" borderId="12" xfId="3" applyFont="1" applyBorder="1" applyAlignment="1">
      <alignment horizontal="left" vertical="center"/>
    </xf>
    <xf numFmtId="165" fontId="3" fillId="0" borderId="8" xfId="3" applyFont="1" applyBorder="1" applyAlignment="1">
      <alignment horizontal="left" vertical="center"/>
    </xf>
    <xf numFmtId="0" fontId="17" fillId="8" borderId="23" xfId="0" applyFont="1" applyFill="1" applyBorder="1" applyAlignment="1">
      <alignment horizontal="center" vertical="center"/>
    </xf>
    <xf numFmtId="0" fontId="17" fillId="8" borderId="24" xfId="0" applyFont="1" applyFill="1" applyBorder="1" applyAlignment="1">
      <alignment horizontal="center" vertical="center"/>
    </xf>
    <xf numFmtId="0" fontId="17" fillId="8" borderId="25" xfId="0" applyFont="1" applyFill="1" applyBorder="1" applyAlignment="1">
      <alignment horizontal="center" vertical="center"/>
    </xf>
    <xf numFmtId="0" fontId="7" fillId="8" borderId="42" xfId="0" applyFont="1" applyFill="1" applyBorder="1" applyAlignment="1">
      <alignment horizontal="center" vertical="center"/>
    </xf>
    <xf numFmtId="0" fontId="7" fillId="8" borderId="40" xfId="0" applyFont="1" applyFill="1" applyBorder="1" applyAlignment="1">
      <alignment horizontal="center" vertical="center"/>
    </xf>
    <xf numFmtId="0" fontId="7" fillId="8" borderId="43" xfId="0" applyFont="1" applyFill="1" applyBorder="1" applyAlignment="1">
      <alignment horizontal="center" vertical="center"/>
    </xf>
    <xf numFmtId="165" fontId="3" fillId="0" borderId="5" xfId="3" applyFont="1" applyBorder="1" applyAlignment="1">
      <alignment horizontal="center" vertical="center"/>
    </xf>
    <xf numFmtId="165" fontId="3" fillId="0" borderId="6" xfId="3" applyFont="1" applyBorder="1" applyAlignment="1">
      <alignment horizontal="center" vertical="center"/>
    </xf>
    <xf numFmtId="165" fontId="3" fillId="0" borderId="41" xfId="3" applyFont="1" applyBorder="1" applyAlignment="1">
      <alignment horizontal="center" vertical="center"/>
    </xf>
    <xf numFmtId="165" fontId="4" fillId="8" borderId="5" xfId="3" applyFont="1" applyFill="1" applyBorder="1" applyAlignment="1">
      <alignment horizontal="center" vertical="center"/>
    </xf>
    <xf numFmtId="165" fontId="4" fillId="8" borderId="6" xfId="3" applyFont="1" applyFill="1" applyBorder="1" applyAlignment="1">
      <alignment horizontal="center" vertical="center"/>
    </xf>
    <xf numFmtId="165" fontId="4" fillId="8" borderId="7" xfId="3" applyFont="1" applyFill="1" applyBorder="1" applyAlignment="1">
      <alignment horizontal="center" vertical="center"/>
    </xf>
    <xf numFmtId="0" fontId="17" fillId="8" borderId="19" xfId="0" applyFont="1" applyFill="1" applyBorder="1" applyAlignment="1">
      <alignment horizontal="center" vertical="center"/>
    </xf>
    <xf numFmtId="0" fontId="17" fillId="8" borderId="20" xfId="0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17" fillId="10" borderId="17" xfId="0" applyFont="1" applyFill="1" applyBorder="1" applyAlignment="1">
      <alignment horizontal="center"/>
    </xf>
    <xf numFmtId="0" fontId="17" fillId="10" borderId="44" xfId="0" applyFont="1" applyFill="1" applyBorder="1" applyAlignment="1">
      <alignment horizontal="center"/>
    </xf>
    <xf numFmtId="0" fontId="6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9" fontId="7" fillId="0" borderId="19" xfId="2" applyFont="1" applyBorder="1" applyAlignment="1">
      <alignment horizontal="center"/>
    </xf>
    <xf numFmtId="9" fontId="7" fillId="0" borderId="20" xfId="2" applyFont="1" applyBorder="1" applyAlignment="1">
      <alignment horizontal="center"/>
    </xf>
    <xf numFmtId="9" fontId="7" fillId="0" borderId="10" xfId="2" applyFont="1" applyBorder="1" applyAlignment="1">
      <alignment horizontal="center"/>
    </xf>
    <xf numFmtId="0" fontId="4" fillId="10" borderId="23" xfId="0" applyFont="1" applyFill="1" applyBorder="1" applyAlignment="1">
      <alignment horizontal="center" vertical="center"/>
    </xf>
    <xf numFmtId="0" fontId="4" fillId="10" borderId="24" xfId="0" applyFont="1" applyFill="1" applyBorder="1" applyAlignment="1">
      <alignment horizontal="center" vertical="center"/>
    </xf>
    <xf numFmtId="0" fontId="4" fillId="10" borderId="25" xfId="0" applyFont="1" applyFill="1" applyBorder="1" applyAlignment="1">
      <alignment horizontal="center"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>
          <a:extLst>
            <a:ext uri="{FF2B5EF4-FFF2-40B4-BE49-F238E27FC236}">
              <a16:creationId xmlns:a16="http://schemas.microsoft.com/office/drawing/2014/main" id="{00000000-0008-0000-0500-00006A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>
          <a:extLst>
            <a:ext uri="{FF2B5EF4-FFF2-40B4-BE49-F238E27FC236}">
              <a16:creationId xmlns:a16="http://schemas.microsoft.com/office/drawing/2014/main" id="{00000000-0008-0000-0500-00006B1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50"/>
  <sheetViews>
    <sheetView tabSelected="1" view="pageBreakPreview" topLeftCell="A178" zoomScaleNormal="100" zoomScaleSheetLayoutView="100" workbookViewId="0">
      <selection activeCell="D207" sqref="D207"/>
    </sheetView>
  </sheetViews>
  <sheetFormatPr defaultRowHeight="12.75" x14ac:dyDescent="0.2"/>
  <cols>
    <col min="1" max="1" width="52.42578125" style="9" customWidth="1"/>
    <col min="2" max="2" width="16" style="9" bestFit="1" customWidth="1"/>
    <col min="3" max="3" width="12.7109375" style="9" customWidth="1"/>
    <col min="4" max="4" width="14.7109375" style="10" customWidth="1"/>
    <col min="5" max="5" width="16" style="10" customWidth="1"/>
    <col min="6" max="6" width="14" style="10" customWidth="1"/>
    <col min="7" max="7" width="28.140625" style="10" customWidth="1"/>
    <col min="8" max="8" width="9.140625" style="9"/>
    <col min="9" max="9" width="14.5703125" style="9" customWidth="1"/>
    <col min="10" max="10" width="13.42578125" style="9" customWidth="1"/>
    <col min="11" max="16384" width="9.140625" style="9"/>
  </cols>
  <sheetData>
    <row r="1" spans="1:6" x14ac:dyDescent="0.2">
      <c r="A1" s="11" t="s">
        <v>225</v>
      </c>
      <c r="B1" s="7"/>
      <c r="C1" s="7"/>
      <c r="D1" s="242"/>
      <c r="E1" s="242"/>
      <c r="F1" s="242"/>
    </row>
    <row r="2" spans="1:6" x14ac:dyDescent="0.2">
      <c r="A2" s="240" t="s">
        <v>226</v>
      </c>
      <c r="B2" s="7"/>
      <c r="C2" s="7"/>
      <c r="D2" s="242"/>
      <c r="E2" s="242"/>
      <c r="F2" s="242"/>
    </row>
    <row r="3" spans="1:6" x14ac:dyDescent="0.2">
      <c r="A3" s="240"/>
      <c r="B3" s="7"/>
      <c r="C3" s="7"/>
      <c r="D3" s="242"/>
      <c r="E3" s="242"/>
      <c r="F3" s="242"/>
    </row>
    <row r="4" spans="1:6" ht="12.75" customHeight="1" x14ac:dyDescent="0.2">
      <c r="A4" s="345" t="s">
        <v>229</v>
      </c>
      <c r="B4" s="345"/>
      <c r="C4" s="345"/>
      <c r="D4" s="345"/>
      <c r="E4" s="345"/>
      <c r="F4" s="345"/>
    </row>
    <row r="5" spans="1:6" x14ac:dyDescent="0.2">
      <c r="A5" s="345"/>
      <c r="B5" s="345"/>
      <c r="C5" s="345"/>
      <c r="D5" s="345"/>
      <c r="E5" s="345"/>
      <c r="F5" s="345"/>
    </row>
    <row r="6" spans="1:6" x14ac:dyDescent="0.2">
      <c r="A6" s="345"/>
      <c r="B6" s="345"/>
      <c r="C6" s="345"/>
      <c r="D6" s="345"/>
      <c r="E6" s="345"/>
      <c r="F6" s="345"/>
    </row>
    <row r="7" spans="1:6" x14ac:dyDescent="0.2">
      <c r="A7" s="345"/>
      <c r="B7" s="345"/>
      <c r="C7" s="345"/>
      <c r="D7" s="345"/>
      <c r="E7" s="345"/>
      <c r="F7" s="345"/>
    </row>
    <row r="8" spans="1:6" x14ac:dyDescent="0.2">
      <c r="A8" s="345"/>
      <c r="B8" s="345"/>
      <c r="C8" s="345"/>
      <c r="D8" s="345"/>
      <c r="E8" s="345"/>
      <c r="F8" s="345"/>
    </row>
    <row r="9" spans="1:6" x14ac:dyDescent="0.2">
      <c r="A9" s="345"/>
      <c r="B9" s="345"/>
      <c r="C9" s="345"/>
      <c r="D9" s="345"/>
      <c r="E9" s="345"/>
      <c r="F9" s="345"/>
    </row>
    <row r="10" spans="1:6" x14ac:dyDescent="0.2">
      <c r="A10" s="345"/>
      <c r="B10" s="345"/>
      <c r="C10" s="345"/>
      <c r="D10" s="345"/>
      <c r="E10" s="345"/>
      <c r="F10" s="345"/>
    </row>
    <row r="11" spans="1:6" x14ac:dyDescent="0.2">
      <c r="A11" s="345"/>
      <c r="B11" s="345"/>
      <c r="C11" s="345"/>
      <c r="D11" s="345"/>
      <c r="E11" s="345"/>
      <c r="F11" s="345"/>
    </row>
    <row r="12" spans="1:6" x14ac:dyDescent="0.2">
      <c r="A12" s="345"/>
      <c r="B12" s="345"/>
      <c r="C12" s="345"/>
      <c r="D12" s="345"/>
      <c r="E12" s="345"/>
      <c r="F12" s="345"/>
    </row>
    <row r="13" spans="1:6" x14ac:dyDescent="0.2">
      <c r="A13" s="345"/>
      <c r="B13" s="345"/>
      <c r="C13" s="345"/>
      <c r="D13" s="345"/>
      <c r="E13" s="345"/>
      <c r="F13" s="345"/>
    </row>
    <row r="14" spans="1:6" x14ac:dyDescent="0.2">
      <c r="A14" s="345"/>
      <c r="B14" s="345"/>
      <c r="C14" s="345"/>
      <c r="D14" s="345"/>
      <c r="E14" s="345"/>
      <c r="F14" s="345"/>
    </row>
    <row r="15" spans="1:6" x14ac:dyDescent="0.2">
      <c r="A15" s="345"/>
      <c r="B15" s="345"/>
      <c r="C15" s="345"/>
      <c r="D15" s="345"/>
      <c r="E15" s="345"/>
      <c r="F15" s="345"/>
    </row>
    <row r="16" spans="1:6" x14ac:dyDescent="0.2">
      <c r="A16" s="345"/>
      <c r="B16" s="345"/>
      <c r="C16" s="345"/>
      <c r="D16" s="345"/>
      <c r="E16" s="345"/>
      <c r="F16" s="345"/>
    </row>
    <row r="17" spans="1:7" ht="13.5" thickBot="1" x14ac:dyDescent="0.25">
      <c r="A17" s="345"/>
      <c r="B17" s="345"/>
      <c r="C17" s="345"/>
      <c r="D17" s="345"/>
      <c r="E17" s="345"/>
      <c r="F17" s="345"/>
    </row>
    <row r="18" spans="1:7" s="8" customFormat="1" ht="18" x14ac:dyDescent="0.2">
      <c r="A18" s="350" t="s">
        <v>249</v>
      </c>
      <c r="B18" s="351"/>
      <c r="C18" s="351"/>
      <c r="D18" s="351"/>
      <c r="E18" s="351"/>
      <c r="F18" s="352"/>
      <c r="G18" s="33"/>
    </row>
    <row r="19" spans="1:7" s="8" customFormat="1" ht="21.75" customHeight="1" x14ac:dyDescent="0.2">
      <c r="A19" s="353" t="s">
        <v>34</v>
      </c>
      <c r="B19" s="354"/>
      <c r="C19" s="354"/>
      <c r="D19" s="354"/>
      <c r="E19" s="354"/>
      <c r="F19" s="355"/>
      <c r="G19" s="33"/>
    </row>
    <row r="20" spans="1:7" s="4" customFormat="1" ht="10.9" customHeight="1" thickBot="1" x14ac:dyDescent="0.25">
      <c r="A20" s="121"/>
      <c r="B20" s="5"/>
      <c r="C20" s="5"/>
      <c r="D20" s="6"/>
      <c r="E20" s="6"/>
      <c r="F20" s="122"/>
      <c r="G20" s="6"/>
    </row>
    <row r="21" spans="1:7" s="4" customFormat="1" ht="15.75" customHeight="1" thickBot="1" x14ac:dyDescent="0.25">
      <c r="A21" s="359" t="s">
        <v>166</v>
      </c>
      <c r="B21" s="360"/>
      <c r="C21" s="360"/>
      <c r="D21" s="360"/>
      <c r="E21" s="360"/>
      <c r="F21" s="361"/>
      <c r="G21" s="6"/>
    </row>
    <row r="22" spans="1:7" s="4" customFormat="1" ht="15.75" customHeight="1" x14ac:dyDescent="0.2">
      <c r="A22" s="55" t="s">
        <v>165</v>
      </c>
      <c r="B22" s="36"/>
      <c r="C22" s="36"/>
      <c r="D22" s="216"/>
      <c r="E22" s="94" t="s">
        <v>29</v>
      </c>
      <c r="F22" s="37" t="s">
        <v>2</v>
      </c>
      <c r="G22" s="6"/>
    </row>
    <row r="23" spans="1:7" s="11" customFormat="1" ht="15.75" customHeight="1" x14ac:dyDescent="0.2">
      <c r="A23" s="101" t="str">
        <f>+A61</f>
        <v>1. Mão-de-obra</v>
      </c>
      <c r="B23" s="102"/>
      <c r="C23" s="103"/>
      <c r="D23" s="103"/>
      <c r="E23" s="213">
        <f>+F134</f>
        <v>17909.005191627108</v>
      </c>
      <c r="F23" s="104">
        <f t="shared" ref="F23:F38" si="0">IFERROR(E23/$E$46,0)</f>
        <v>0.29520098332079542</v>
      </c>
      <c r="G23" s="23"/>
    </row>
    <row r="24" spans="1:7" s="4" customFormat="1" ht="15.75" customHeight="1" x14ac:dyDescent="0.2">
      <c r="A24" s="44" t="str">
        <f>A63</f>
        <v>1.1. Serviços Gerais</v>
      </c>
      <c r="B24" s="40"/>
      <c r="C24" s="42"/>
      <c r="D24" s="42"/>
      <c r="E24" s="214">
        <f>F74</f>
        <v>3679.9345098835779</v>
      </c>
      <c r="F24" s="50">
        <f t="shared" si="0"/>
        <v>6.0657768214933704E-2</v>
      </c>
      <c r="G24" s="6"/>
    </row>
    <row r="25" spans="1:7" s="4" customFormat="1" ht="15.75" customHeight="1" x14ac:dyDescent="0.2">
      <c r="A25" s="44" t="str">
        <f>A75</f>
        <v>1.2  Operador de Escavadeira hidraulica</v>
      </c>
      <c r="B25" s="40"/>
      <c r="C25" s="42"/>
      <c r="D25" s="42"/>
      <c r="E25" s="214">
        <f>F88</f>
        <v>4921.182365743527</v>
      </c>
      <c r="F25" s="50">
        <f t="shared" si="0"/>
        <v>8.1117731438686363E-2</v>
      </c>
      <c r="G25" s="6"/>
    </row>
    <row r="26" spans="1:7" s="4" customFormat="1" ht="15.75" customHeight="1" x14ac:dyDescent="0.2">
      <c r="A26" s="44" t="str">
        <f>A89</f>
        <v>1.3 Gerente Operacional</v>
      </c>
      <c r="B26" s="40"/>
      <c r="C26" s="42"/>
      <c r="D26" s="42"/>
      <c r="E26" s="214">
        <f>F98</f>
        <v>5018.1068700000005</v>
      </c>
      <c r="F26" s="50">
        <f t="shared" si="0"/>
        <v>8.2715375118960044E-2</v>
      </c>
      <c r="G26" s="6"/>
    </row>
    <row r="27" spans="1:7" s="4" customFormat="1" ht="15.75" customHeight="1" x14ac:dyDescent="0.2">
      <c r="A27" s="44" t="str">
        <f>A99</f>
        <v>1.4. Auxiliar Administrativo</v>
      </c>
      <c r="B27" s="40"/>
      <c r="C27" s="42"/>
      <c r="D27" s="42"/>
      <c r="E27" s="214">
        <f>F108</f>
        <v>2740.0751460000001</v>
      </c>
      <c r="F27" s="50">
        <f t="shared" si="0"/>
        <v>4.5165706794827426E-2</v>
      </c>
      <c r="G27" s="6"/>
    </row>
    <row r="28" spans="1:7" s="4" customFormat="1" ht="15.75" customHeight="1" x14ac:dyDescent="0.2">
      <c r="A28" s="44" t="str">
        <f>A109</f>
        <v>1.5. Vale Transporte</v>
      </c>
      <c r="B28" s="40"/>
      <c r="C28" s="42"/>
      <c r="D28" s="42"/>
      <c r="E28" s="214">
        <f>F116</f>
        <v>281.84000000000003</v>
      </c>
      <c r="F28" s="50">
        <f t="shared" si="0"/>
        <v>4.6456765324983402E-3</v>
      </c>
      <c r="G28" s="6"/>
    </row>
    <row r="29" spans="1:7" s="4" customFormat="1" ht="15.75" customHeight="1" x14ac:dyDescent="0.2">
      <c r="A29" s="44" t="str">
        <f>A117</f>
        <v>1.6. Vale-refeição (diário)</v>
      </c>
      <c r="B29" s="40"/>
      <c r="C29" s="42"/>
      <c r="D29" s="42"/>
      <c r="E29" s="214">
        <f>F127</f>
        <v>1267.8663000000001</v>
      </c>
      <c r="F29" s="50">
        <f t="shared" si="0"/>
        <v>2.0898725220889511E-2</v>
      </c>
      <c r="G29" s="6"/>
    </row>
    <row r="30" spans="1:7" s="4" customFormat="1" ht="15.75" customHeight="1" x14ac:dyDescent="0.2">
      <c r="A30" s="44" t="str">
        <f>A128</f>
        <v>1.6. Auxílio Alimentação (mensal)</v>
      </c>
      <c r="B30" s="40"/>
      <c r="C30" s="42"/>
      <c r="D30" s="42"/>
      <c r="E30" s="214">
        <f>F132</f>
        <v>0</v>
      </c>
      <c r="F30" s="50">
        <f t="shared" si="0"/>
        <v>0</v>
      </c>
      <c r="G30" s="6"/>
    </row>
    <row r="31" spans="1:7" s="11" customFormat="1" ht="15.75" customHeight="1" x14ac:dyDescent="0.2">
      <c r="A31" s="348" t="str">
        <f>+A136</f>
        <v>2. Uniformes e Equipamentos de Proteção Individual</v>
      </c>
      <c r="B31" s="349"/>
      <c r="C31" s="349"/>
      <c r="D31" s="103"/>
      <c r="E31" s="213">
        <f>+F167</f>
        <v>783.45833333333337</v>
      </c>
      <c r="F31" s="104">
        <f t="shared" si="0"/>
        <v>1.2914043405325462E-2</v>
      </c>
      <c r="G31" s="23"/>
    </row>
    <row r="32" spans="1:7" s="11" customFormat="1" ht="15.75" customHeight="1" x14ac:dyDescent="0.2">
      <c r="A32" s="111" t="str">
        <f>+A169</f>
        <v>3. Veículos e Equipamentos</v>
      </c>
      <c r="B32" s="112"/>
      <c r="C32" s="103"/>
      <c r="D32" s="103"/>
      <c r="E32" s="213">
        <f>+F279</f>
        <v>23824.559694024443</v>
      </c>
      <c r="F32" s="104">
        <f t="shared" si="0"/>
        <v>0.39270933106597777</v>
      </c>
      <c r="G32" s="23"/>
    </row>
    <row r="33" spans="1:7" s="4" customFormat="1" ht="15.75" customHeight="1" x14ac:dyDescent="0.2">
      <c r="A33" s="56" t="str">
        <f>A171</f>
        <v>3.1 Escavadeira Hidraulica</v>
      </c>
      <c r="B33" s="41"/>
      <c r="C33" s="42"/>
      <c r="D33" s="42"/>
      <c r="E33" s="214">
        <f>SUM(E34:E38)</f>
        <v>21974.55391111111</v>
      </c>
      <c r="F33" s="116">
        <f t="shared" si="0"/>
        <v>0.36221497806190917</v>
      </c>
      <c r="G33" s="6"/>
    </row>
    <row r="34" spans="1:7" s="4" customFormat="1" ht="15.75" customHeight="1" x14ac:dyDescent="0.2">
      <c r="A34" s="56" t="str">
        <f>A173</f>
        <v>3.1.1. Depreciação</v>
      </c>
      <c r="B34" s="41"/>
      <c r="C34" s="42"/>
      <c r="D34" s="42"/>
      <c r="E34" s="214">
        <f>F182</f>
        <v>3102.9333333333334</v>
      </c>
      <c r="F34" s="116">
        <f t="shared" si="0"/>
        <v>5.1146837101098193E-2</v>
      </c>
      <c r="G34" s="6"/>
    </row>
    <row r="35" spans="1:7" s="4" customFormat="1" ht="15.75" customHeight="1" x14ac:dyDescent="0.2">
      <c r="A35" s="56" t="str">
        <f>A183</f>
        <v>3.1.2. Remuneração do Capital</v>
      </c>
      <c r="B35" s="41"/>
      <c r="C35" s="42"/>
      <c r="D35" s="42"/>
      <c r="E35" s="214">
        <f>F191</f>
        <v>404.04444444444448</v>
      </c>
      <c r="F35" s="116">
        <f t="shared" si="0"/>
        <v>6.6600191372476747E-3</v>
      </c>
      <c r="G35" s="6"/>
    </row>
    <row r="36" spans="1:7" s="4" customFormat="1" ht="15.75" customHeight="1" x14ac:dyDescent="0.2">
      <c r="A36" s="56" t="str">
        <f>A192</f>
        <v>3.1.3. Impostos e Seguros</v>
      </c>
      <c r="B36" s="41"/>
      <c r="C36" s="42"/>
      <c r="D36" s="42"/>
      <c r="E36" s="214">
        <f>F198</f>
        <v>708.33333333333337</v>
      </c>
      <c r="F36" s="116">
        <f t="shared" si="0"/>
        <v>1.1675729292694403E-2</v>
      </c>
      <c r="G36" s="6"/>
    </row>
    <row r="37" spans="1:7" s="4" customFormat="1" ht="15.75" customHeight="1" x14ac:dyDescent="0.2">
      <c r="A37" s="56" t="str">
        <f>A200</f>
        <v>3.1.4. Consumos</v>
      </c>
      <c r="B37" s="41"/>
      <c r="C37" s="42"/>
      <c r="D37" s="42"/>
      <c r="E37" s="214">
        <f>F216</f>
        <v>12175.7428</v>
      </c>
      <c r="F37" s="116">
        <f t="shared" si="0"/>
        <v>0.20069742616979713</v>
      </c>
      <c r="G37" s="6"/>
    </row>
    <row r="38" spans="1:7" s="4" customFormat="1" ht="15.75" customHeight="1" x14ac:dyDescent="0.2">
      <c r="A38" s="56" t="str">
        <f>A217</f>
        <v>3.1.5. Manutenção</v>
      </c>
      <c r="B38" s="41"/>
      <c r="C38" s="42"/>
      <c r="D38" s="42"/>
      <c r="E38" s="214">
        <f>F220</f>
        <v>5583.5</v>
      </c>
      <c r="F38" s="116">
        <f t="shared" si="0"/>
        <v>9.2034966361071807E-2</v>
      </c>
      <c r="G38" s="6"/>
    </row>
    <row r="39" spans="1:7" s="4" customFormat="1" ht="15.75" customHeight="1" x14ac:dyDescent="0.2">
      <c r="A39" s="56"/>
      <c r="B39" s="41"/>
      <c r="C39" s="42"/>
      <c r="D39" s="42"/>
      <c r="E39" s="214"/>
      <c r="F39" s="116"/>
      <c r="G39" s="6"/>
    </row>
    <row r="40" spans="1:7" s="4" customFormat="1" ht="15.75" customHeight="1" x14ac:dyDescent="0.2">
      <c r="A40" s="56" t="str">
        <f>A222</f>
        <v>3.2 VEÍCULO UTILITÁRIO</v>
      </c>
      <c r="B40" s="41"/>
      <c r="C40" s="42"/>
      <c r="D40" s="42"/>
      <c r="E40" s="214">
        <f>F277</f>
        <v>1850.0057829133334</v>
      </c>
      <c r="F40" s="116">
        <f>IFERROR(E40/$E$46,0)</f>
        <v>3.0494353004068584E-2</v>
      </c>
      <c r="G40" s="6"/>
    </row>
    <row r="41" spans="1:7" s="4" customFormat="1" ht="15.75" customHeight="1" x14ac:dyDescent="0.2">
      <c r="A41" s="56"/>
      <c r="B41" s="41"/>
      <c r="C41" s="42"/>
      <c r="D41" s="42"/>
      <c r="E41" s="214"/>
      <c r="F41" s="116"/>
      <c r="G41" s="6"/>
    </row>
    <row r="42" spans="1:7" s="11" customFormat="1" ht="15.75" customHeight="1" x14ac:dyDescent="0.2">
      <c r="A42" s="111" t="str">
        <f>+A281</f>
        <v>4. Ferramentas e Materiais de Consumo</v>
      </c>
      <c r="B42" s="112"/>
      <c r="C42" s="103"/>
      <c r="D42" s="103"/>
      <c r="E42" s="213">
        <f>+F294</f>
        <v>5023.6333333333332</v>
      </c>
      <c r="F42" s="104">
        <f>IFERROR(E42/$E$46,0)</f>
        <v>8.2806469928126153E-2</v>
      </c>
      <c r="G42" s="23"/>
    </row>
    <row r="43" spans="1:7" s="11" customFormat="1" ht="15.75" customHeight="1" x14ac:dyDescent="0.2">
      <c r="A43" s="111" t="str">
        <f>+A296</f>
        <v>5. Monitoramento da Frota</v>
      </c>
      <c r="B43" s="112"/>
      <c r="C43" s="103"/>
      <c r="D43" s="103"/>
      <c r="E43" s="213">
        <f>+F305</f>
        <v>183.66666666666666</v>
      </c>
      <c r="F43" s="104">
        <f>IFERROR(E43/$E$46,0)</f>
        <v>3.027447924835113E-3</v>
      </c>
      <c r="G43" s="23"/>
    </row>
    <row r="44" spans="1:7" s="11" customFormat="1" ht="15.75" customHeight="1" x14ac:dyDescent="0.2">
      <c r="A44" s="111" t="s">
        <v>233</v>
      </c>
      <c r="B44" s="112"/>
      <c r="C44" s="103"/>
      <c r="D44" s="103"/>
      <c r="E44" s="248">
        <f>F312</f>
        <v>0</v>
      </c>
      <c r="F44" s="104">
        <f>IFERROR(E44/$E$46,0)</f>
        <v>0</v>
      </c>
      <c r="G44" s="23"/>
    </row>
    <row r="45" spans="1:7" s="11" customFormat="1" ht="15.75" customHeight="1" thickBot="1" x14ac:dyDescent="0.25">
      <c r="A45" s="111" t="str">
        <f>+A316</f>
        <v>7. Benefícios e Despesas Indiretas - BDI</v>
      </c>
      <c r="B45" s="112"/>
      <c r="C45" s="103"/>
      <c r="D45" s="103"/>
      <c r="E45" s="215">
        <f>F322</f>
        <v>12942.836456988698</v>
      </c>
      <c r="F45" s="104">
        <f>IFERROR(E45/$E$46,0)</f>
        <v>0.2133417243549402</v>
      </c>
      <c r="G45" s="23"/>
    </row>
    <row r="46" spans="1:7" s="4" customFormat="1" ht="15.75" customHeight="1" thickBot="1" x14ac:dyDescent="0.25">
      <c r="A46" s="38" t="s">
        <v>311</v>
      </c>
      <c r="B46" s="39"/>
      <c r="C46" s="26"/>
      <c r="D46" s="26"/>
      <c r="E46" s="93">
        <f>E23+E31+E32+E42+E43+E44+E45</f>
        <v>60667.159675973577</v>
      </c>
      <c r="F46" s="115">
        <f>F23+F31+F32+F42+F43+F45+F44</f>
        <v>1.0000000000000002</v>
      </c>
      <c r="G46" s="6"/>
    </row>
    <row r="47" spans="1:7" ht="13.5" thickBot="1" x14ac:dyDescent="0.25"/>
    <row r="48" spans="1:7" s="4" customFormat="1" ht="15" customHeight="1" thickBot="1" x14ac:dyDescent="0.25">
      <c r="A48" s="359" t="s">
        <v>78</v>
      </c>
      <c r="B48" s="360"/>
      <c r="C48" s="360"/>
      <c r="D48" s="360"/>
      <c r="E48" s="361"/>
      <c r="F48" s="10"/>
      <c r="G48" s="6"/>
    </row>
    <row r="49" spans="1:7" s="4" customFormat="1" ht="15" customHeight="1" thickBot="1" x14ac:dyDescent="0.25">
      <c r="A49" s="356" t="s">
        <v>30</v>
      </c>
      <c r="B49" s="357"/>
      <c r="C49" s="357"/>
      <c r="D49" s="358"/>
      <c r="E49" s="43" t="s">
        <v>31</v>
      </c>
      <c r="F49" s="10"/>
      <c r="G49" s="6"/>
    </row>
    <row r="50" spans="1:7" s="4" customFormat="1" ht="15" customHeight="1" x14ac:dyDescent="0.2">
      <c r="A50" s="64" t="str">
        <f>A63</f>
        <v>1.1. Serviços Gerais</v>
      </c>
      <c r="B50" s="257"/>
      <c r="C50" s="65"/>
      <c r="D50" s="66"/>
      <c r="E50" s="67">
        <v>1</v>
      </c>
      <c r="F50" s="10"/>
      <c r="G50" s="6"/>
    </row>
    <row r="51" spans="1:7" s="4" customFormat="1" ht="15" customHeight="1" x14ac:dyDescent="0.2">
      <c r="A51" s="58" t="str">
        <f>+A75</f>
        <v>1.2  Operador de Escavadeira hidraulica</v>
      </c>
      <c r="B51" s="258"/>
      <c r="C51" s="57"/>
      <c r="D51" s="68"/>
      <c r="E51" s="61">
        <v>1</v>
      </c>
      <c r="F51" s="10"/>
      <c r="G51" s="6"/>
    </row>
    <row r="52" spans="1:7" s="4" customFormat="1" ht="15" customHeight="1" x14ac:dyDescent="0.2">
      <c r="A52" s="243" t="s">
        <v>316</v>
      </c>
      <c r="B52" s="57"/>
      <c r="C52" s="57"/>
      <c r="D52" s="68"/>
      <c r="E52" s="61">
        <v>1</v>
      </c>
      <c r="F52" s="10"/>
      <c r="G52" s="6"/>
    </row>
    <row r="53" spans="1:7" s="4" customFormat="1" ht="15" customHeight="1" x14ac:dyDescent="0.2">
      <c r="A53" s="243" t="s">
        <v>317</v>
      </c>
      <c r="B53" s="57"/>
      <c r="C53" s="57"/>
      <c r="D53" s="344"/>
      <c r="E53" s="61">
        <v>1</v>
      </c>
      <c r="F53" s="10"/>
      <c r="G53" s="6"/>
    </row>
    <row r="54" spans="1:7" s="4" customFormat="1" ht="15" customHeight="1" thickBot="1" x14ac:dyDescent="0.25">
      <c r="A54" s="62" t="s">
        <v>46</v>
      </c>
      <c r="B54" s="63"/>
      <c r="C54" s="63"/>
      <c r="D54" s="69"/>
      <c r="E54" s="70">
        <f>SUM(E50:E53)</f>
        <v>4</v>
      </c>
      <c r="F54" s="10"/>
      <c r="G54" s="6"/>
    </row>
    <row r="55" spans="1:7" s="4" customFormat="1" ht="15" customHeight="1" thickBot="1" x14ac:dyDescent="0.25">
      <c r="A55" s="105"/>
      <c r="B55" s="106"/>
      <c r="C55" s="10"/>
      <c r="D55" s="10"/>
      <c r="E55" s="107"/>
      <c r="F55" s="10"/>
      <c r="G55" s="6"/>
    </row>
    <row r="56" spans="1:7" s="4" customFormat="1" ht="15" customHeight="1" x14ac:dyDescent="0.2">
      <c r="A56" s="346" t="s">
        <v>43</v>
      </c>
      <c r="B56" s="347"/>
      <c r="C56" s="347"/>
      <c r="D56" s="347"/>
      <c r="E56" s="43" t="s">
        <v>31</v>
      </c>
      <c r="F56" s="9"/>
      <c r="G56" s="6"/>
    </row>
    <row r="57" spans="1:7" s="4" customFormat="1" ht="15" customHeight="1" thickBot="1" x14ac:dyDescent="0.25">
      <c r="A57" s="244" t="s">
        <v>250</v>
      </c>
      <c r="B57" s="108"/>
      <c r="C57" s="108"/>
      <c r="D57" s="109"/>
      <c r="E57" s="110">
        <v>1</v>
      </c>
      <c r="F57" s="9"/>
      <c r="G57" s="6"/>
    </row>
    <row r="58" spans="1:7" s="4" customFormat="1" ht="13.5" thickBot="1" x14ac:dyDescent="0.25">
      <c r="A58" s="10"/>
      <c r="B58" s="10"/>
      <c r="C58" s="10"/>
      <c r="D58" s="9"/>
      <c r="E58" s="59"/>
      <c r="F58" s="9"/>
      <c r="G58" s="6"/>
    </row>
    <row r="59" spans="1:7" s="11" customFormat="1" ht="15.75" customHeight="1" thickBot="1" x14ac:dyDescent="0.25">
      <c r="A59" s="217" t="s">
        <v>163</v>
      </c>
      <c r="B59" s="218">
        <v>1</v>
      </c>
      <c r="C59" s="23"/>
      <c r="E59" s="123"/>
      <c r="G59" s="23"/>
    </row>
    <row r="60" spans="1:7" s="4" customFormat="1" ht="15.75" customHeight="1" x14ac:dyDescent="0.2">
      <c r="A60" s="10"/>
      <c r="B60" s="10"/>
      <c r="C60" s="10"/>
      <c r="D60" s="9"/>
      <c r="E60" s="59"/>
      <c r="F60" s="9"/>
      <c r="G60" s="6"/>
    </row>
    <row r="61" spans="1:7" ht="13.15" customHeight="1" x14ac:dyDescent="0.2">
      <c r="A61" s="11" t="s">
        <v>37</v>
      </c>
    </row>
    <row r="62" spans="1:7" ht="11.25" customHeight="1" x14ac:dyDescent="0.2"/>
    <row r="63" spans="1:7" ht="13.9" customHeight="1" thickBot="1" x14ac:dyDescent="0.25">
      <c r="A63" s="7" t="s">
        <v>246</v>
      </c>
    </row>
    <row r="64" spans="1:7" ht="13.9" customHeight="1" thickBot="1" x14ac:dyDescent="0.25">
      <c r="A64" s="51" t="s">
        <v>49</v>
      </c>
      <c r="B64" s="52" t="s">
        <v>50</v>
      </c>
      <c r="C64" s="52" t="s">
        <v>31</v>
      </c>
      <c r="D64" s="53" t="s">
        <v>199</v>
      </c>
      <c r="E64" s="53" t="s">
        <v>51</v>
      </c>
      <c r="F64" s="54" t="s">
        <v>52</v>
      </c>
    </row>
    <row r="65" spans="1:7" ht="13.15" customHeight="1" x14ac:dyDescent="0.2">
      <c r="A65" s="13" t="s">
        <v>179</v>
      </c>
      <c r="B65" s="14" t="s">
        <v>7</v>
      </c>
      <c r="C65" s="14">
        <v>1</v>
      </c>
      <c r="D65" s="75">
        <v>1397.27</v>
      </c>
      <c r="E65" s="15">
        <f>C65*D65</f>
        <v>1397.27</v>
      </c>
    </row>
    <row r="66" spans="1:7" x14ac:dyDescent="0.2">
      <c r="A66" s="16" t="s">
        <v>25</v>
      </c>
      <c r="B66" s="17" t="s">
        <v>0</v>
      </c>
      <c r="C66" s="76">
        <v>4.25</v>
      </c>
      <c r="D66" s="18">
        <f>D65/220*2</f>
        <v>12.702454545454545</v>
      </c>
      <c r="E66" s="18">
        <f>C66*D66</f>
        <v>53.985431818181816</v>
      </c>
    </row>
    <row r="67" spans="1:7" ht="13.15" customHeight="1" x14ac:dyDescent="0.2">
      <c r="A67" s="16" t="s">
        <v>26</v>
      </c>
      <c r="B67" s="17" t="s">
        <v>0</v>
      </c>
      <c r="C67" s="76">
        <v>2</v>
      </c>
      <c r="D67" s="18">
        <f>D65/220*1.5</f>
        <v>9.5268409090909092</v>
      </c>
      <c r="E67" s="18">
        <f>C67*D67</f>
        <v>19.053681818181818</v>
      </c>
    </row>
    <row r="68" spans="1:7" ht="13.15" customHeight="1" x14ac:dyDescent="0.2">
      <c r="A68" s="16" t="s">
        <v>181</v>
      </c>
      <c r="B68" s="17" t="s">
        <v>24</v>
      </c>
      <c r="D68" s="18">
        <f>63/302*(SUM(E66:E67))</f>
        <v>15.236636288380495</v>
      </c>
      <c r="E68" s="18">
        <f>D68</f>
        <v>15.236636288380495</v>
      </c>
    </row>
    <row r="69" spans="1:7" x14ac:dyDescent="0.2">
      <c r="A69" s="16" t="s">
        <v>1</v>
      </c>
      <c r="B69" s="17" t="s">
        <v>2</v>
      </c>
      <c r="C69" s="17">
        <v>40</v>
      </c>
      <c r="D69" s="18">
        <f>SUM(E65:E68)</f>
        <v>1485.5457499247439</v>
      </c>
      <c r="E69" s="18">
        <f>C69*D69/100</f>
        <v>594.21829996989754</v>
      </c>
    </row>
    <row r="70" spans="1:7" x14ac:dyDescent="0.2">
      <c r="A70" s="95" t="s">
        <v>3</v>
      </c>
      <c r="B70" s="96"/>
      <c r="C70" s="96"/>
      <c r="D70" s="31"/>
      <c r="E70" s="97">
        <f>SUM(E65:E69)</f>
        <v>2079.7640498946412</v>
      </c>
    </row>
    <row r="71" spans="1:7" x14ac:dyDescent="0.2">
      <c r="A71" s="16" t="s">
        <v>4</v>
      </c>
      <c r="B71" s="17" t="s">
        <v>2</v>
      </c>
      <c r="C71" s="114">
        <v>76.94</v>
      </c>
      <c r="D71" s="18">
        <f>E70</f>
        <v>2079.7640498946412</v>
      </c>
      <c r="E71" s="18">
        <f>D71*C71/100</f>
        <v>1600.1704599889367</v>
      </c>
    </row>
    <row r="72" spans="1:7" x14ac:dyDescent="0.2">
      <c r="A72" s="95" t="s">
        <v>56</v>
      </c>
      <c r="B72" s="96"/>
      <c r="C72" s="96"/>
      <c r="D72" s="31"/>
      <c r="E72" s="97">
        <f>E70+E71</f>
        <v>3679.9345098835779</v>
      </c>
    </row>
    <row r="73" spans="1:7" ht="13.5" thickBot="1" x14ac:dyDescent="0.25">
      <c r="A73" s="16" t="s">
        <v>5</v>
      </c>
      <c r="B73" s="17" t="s">
        <v>6</v>
      </c>
      <c r="C73" s="74">
        <v>1</v>
      </c>
      <c r="D73" s="18">
        <f>E72</f>
        <v>3679.9345098835779</v>
      </c>
      <c r="E73" s="18">
        <f>C73*D73</f>
        <v>3679.9345098835779</v>
      </c>
      <c r="G73" s="6"/>
    </row>
    <row r="74" spans="1:7" ht="13.9" customHeight="1" thickBot="1" x14ac:dyDescent="0.25">
      <c r="D74" s="99" t="s">
        <v>162</v>
      </c>
      <c r="E74" s="45">
        <v>1</v>
      </c>
      <c r="F74" s="100">
        <f>E73*E74</f>
        <v>3679.9345098835779</v>
      </c>
      <c r="G74" s="6"/>
    </row>
    <row r="75" spans="1:7" s="12" customFormat="1" ht="13.15" customHeight="1" thickBot="1" x14ac:dyDescent="0.25">
      <c r="A75" s="7" t="s">
        <v>251</v>
      </c>
      <c r="B75" s="9"/>
      <c r="C75" s="9"/>
      <c r="D75" s="10"/>
      <c r="E75" s="10"/>
      <c r="F75" s="10"/>
      <c r="G75" s="10"/>
    </row>
    <row r="76" spans="1:7" ht="13.5" thickBot="1" x14ac:dyDescent="0.25">
      <c r="A76" s="51" t="s">
        <v>49</v>
      </c>
      <c r="B76" s="52" t="s">
        <v>50</v>
      </c>
      <c r="C76" s="52" t="s">
        <v>31</v>
      </c>
      <c r="D76" s="53" t="s">
        <v>199</v>
      </c>
      <c r="E76" s="53" t="s">
        <v>51</v>
      </c>
      <c r="F76" s="54" t="s">
        <v>52</v>
      </c>
    </row>
    <row r="77" spans="1:7" x14ac:dyDescent="0.2">
      <c r="A77" s="238" t="s">
        <v>179</v>
      </c>
      <c r="B77" s="14" t="s">
        <v>7</v>
      </c>
      <c r="C77" s="14">
        <v>1</v>
      </c>
      <c r="D77" s="75">
        <v>2180</v>
      </c>
      <c r="E77" s="15">
        <f>C77*D77</f>
        <v>2180</v>
      </c>
    </row>
    <row r="78" spans="1:7" x14ac:dyDescent="0.2">
      <c r="A78" s="238" t="s">
        <v>227</v>
      </c>
      <c r="B78" s="14" t="s">
        <v>7</v>
      </c>
      <c r="C78" s="14">
        <v>1</v>
      </c>
      <c r="D78" s="75">
        <v>954</v>
      </c>
      <c r="E78" s="15"/>
    </row>
    <row r="79" spans="1:7" x14ac:dyDescent="0.2">
      <c r="A79" s="16" t="s">
        <v>25</v>
      </c>
      <c r="B79" s="17" t="s">
        <v>0</v>
      </c>
      <c r="C79" s="76">
        <v>4.25</v>
      </c>
      <c r="D79" s="18">
        <f>D77/220*2</f>
        <v>19.818181818181817</v>
      </c>
      <c r="E79" s="18">
        <f>C79*D79</f>
        <v>84.22727272727272</v>
      </c>
    </row>
    <row r="80" spans="1:7" ht="13.15" customHeight="1" x14ac:dyDescent="0.2">
      <c r="A80" s="16" t="s">
        <v>26</v>
      </c>
      <c r="B80" s="17" t="s">
        <v>0</v>
      </c>
      <c r="C80" s="76">
        <v>2</v>
      </c>
      <c r="D80" s="18">
        <f>D77/220*1.5</f>
        <v>14.863636363636363</v>
      </c>
      <c r="E80" s="18">
        <f>C80*D80</f>
        <v>29.727272727272727</v>
      </c>
    </row>
    <row r="81" spans="1:7" x14ac:dyDescent="0.2">
      <c r="A81" s="16" t="s">
        <v>181</v>
      </c>
      <c r="B81" s="17" t="s">
        <v>24</v>
      </c>
      <c r="D81" s="18">
        <f>63/302*(SUM(E79:E80))</f>
        <v>23.771974714027692</v>
      </c>
      <c r="E81" s="18">
        <f>D81</f>
        <v>23.771974714027692</v>
      </c>
    </row>
    <row r="82" spans="1:7" x14ac:dyDescent="0.2">
      <c r="A82" s="16" t="s">
        <v>180</v>
      </c>
      <c r="B82" s="17"/>
      <c r="C82" s="78">
        <v>2</v>
      </c>
      <c r="D82" s="18"/>
      <c r="E82" s="18"/>
    </row>
    <row r="83" spans="1:7" s="11" customFormat="1" x14ac:dyDescent="0.2">
      <c r="A83" s="16" t="s">
        <v>1</v>
      </c>
      <c r="B83" s="17" t="s">
        <v>2</v>
      </c>
      <c r="C83" s="74">
        <v>20</v>
      </c>
      <c r="D83" s="18">
        <f>IF(C82=2,SUM(E77:E81),IF(C82=1,(SUM(E77:E81))*D78/D77,0))</f>
        <v>2317.7265201685727</v>
      </c>
      <c r="E83" s="18">
        <f>C83*D83/100</f>
        <v>463.54530403371456</v>
      </c>
      <c r="F83" s="10"/>
      <c r="G83" s="23"/>
    </row>
    <row r="84" spans="1:7" x14ac:dyDescent="0.2">
      <c r="A84" s="84" t="s">
        <v>3</v>
      </c>
      <c r="B84" s="96"/>
      <c r="C84" s="96"/>
      <c r="D84" s="31"/>
      <c r="E84" s="86">
        <f>SUM(E77:E83)</f>
        <v>2781.2718242022875</v>
      </c>
      <c r="F84" s="23"/>
    </row>
    <row r="85" spans="1:7" s="11" customFormat="1" x14ac:dyDescent="0.2">
      <c r="A85" s="16" t="s">
        <v>4</v>
      </c>
      <c r="B85" s="17" t="s">
        <v>2</v>
      </c>
      <c r="C85" s="18">
        <v>76.94</v>
      </c>
      <c r="D85" s="18">
        <f>E84</f>
        <v>2781.2718242022875</v>
      </c>
      <c r="E85" s="18">
        <f>D85*C85/100</f>
        <v>2139.91054154124</v>
      </c>
      <c r="F85" s="10"/>
      <c r="G85" s="23"/>
    </row>
    <row r="86" spans="1:7" x14ac:dyDescent="0.2">
      <c r="A86" s="84" t="s">
        <v>212</v>
      </c>
      <c r="B86" s="224"/>
      <c r="C86" s="224"/>
      <c r="D86" s="225"/>
      <c r="E86" s="86">
        <f>E84+E85</f>
        <v>4921.182365743527</v>
      </c>
      <c r="F86" s="23"/>
    </row>
    <row r="87" spans="1:7" ht="13.5" thickBot="1" x14ac:dyDescent="0.25">
      <c r="A87" s="16" t="s">
        <v>5</v>
      </c>
      <c r="B87" s="17" t="s">
        <v>6</v>
      </c>
      <c r="C87" s="74">
        <v>1</v>
      </c>
      <c r="D87" s="18">
        <f>E86</f>
        <v>4921.182365743527</v>
      </c>
      <c r="E87" s="18">
        <f>C87*D87</f>
        <v>4921.182365743527</v>
      </c>
    </row>
    <row r="88" spans="1:7" ht="11.25" customHeight="1" thickBot="1" x14ac:dyDescent="0.25">
      <c r="A88" s="241" t="s">
        <v>228</v>
      </c>
      <c r="D88" s="99" t="s">
        <v>162</v>
      </c>
      <c r="E88" s="45">
        <v>1</v>
      </c>
      <c r="F88" s="100">
        <f>E87*E88</f>
        <v>4921.182365743527</v>
      </c>
    </row>
    <row r="89" spans="1:7" ht="13.5" thickBot="1" x14ac:dyDescent="0.25">
      <c r="A89" s="7" t="s">
        <v>271</v>
      </c>
    </row>
    <row r="90" spans="1:7" ht="13.5" thickBot="1" x14ac:dyDescent="0.25">
      <c r="A90" s="51" t="s">
        <v>49</v>
      </c>
      <c r="B90" s="52" t="s">
        <v>50</v>
      </c>
      <c r="C90" s="52" t="s">
        <v>31</v>
      </c>
      <c r="D90" s="53" t="s">
        <v>199</v>
      </c>
      <c r="E90" s="53" t="s">
        <v>51</v>
      </c>
      <c r="F90" s="54" t="s">
        <v>52</v>
      </c>
    </row>
    <row r="91" spans="1:7" x14ac:dyDescent="0.2">
      <c r="A91" s="271" t="s">
        <v>179</v>
      </c>
      <c r="B91" s="272" t="s">
        <v>7</v>
      </c>
      <c r="C91" s="272">
        <v>1</v>
      </c>
      <c r="D91" s="268">
        <v>2836.05</v>
      </c>
      <c r="E91" s="273">
        <f>C91*D91</f>
        <v>2836.05</v>
      </c>
      <c r="F91"/>
    </row>
    <row r="92" spans="1:7" x14ac:dyDescent="0.2">
      <c r="A92" s="265" t="s">
        <v>25</v>
      </c>
      <c r="B92" s="266" t="s">
        <v>0</v>
      </c>
      <c r="C92" s="274">
        <v>0</v>
      </c>
      <c r="D92" s="269">
        <f>D91/30*2</f>
        <v>189.07000000000002</v>
      </c>
      <c r="E92" s="269">
        <f>C92*D92</f>
        <v>0</v>
      </c>
      <c r="F92"/>
    </row>
    <row r="93" spans="1:7" s="11" customFormat="1" x14ac:dyDescent="0.2">
      <c r="A93" s="265" t="s">
        <v>26</v>
      </c>
      <c r="B93" s="266" t="s">
        <v>0</v>
      </c>
      <c r="C93" s="274">
        <v>0</v>
      </c>
      <c r="D93" s="269">
        <f>D91/30*1.5</f>
        <v>141.80250000000001</v>
      </c>
      <c r="E93" s="269">
        <f>C93*D93</f>
        <v>0</v>
      </c>
      <c r="F93"/>
      <c r="G93" s="23"/>
    </row>
    <row r="94" spans="1:7" x14ac:dyDescent="0.2">
      <c r="A94" s="275" t="s">
        <v>3</v>
      </c>
      <c r="B94" s="276"/>
      <c r="C94" s="276"/>
      <c r="D94" s="277"/>
      <c r="E94" s="278">
        <f>SUM(E91:E93)</f>
        <v>2836.05</v>
      </c>
      <c r="F94" s="279"/>
    </row>
    <row r="95" spans="1:7" s="11" customFormat="1" x14ac:dyDescent="0.2">
      <c r="A95" s="265" t="s">
        <v>4</v>
      </c>
      <c r="B95" s="266" t="s">
        <v>2</v>
      </c>
      <c r="C95" s="284">
        <f>'2.Encargos Sociais'!C34</f>
        <v>0.76940000000000008</v>
      </c>
      <c r="D95" s="269">
        <f>E94</f>
        <v>2836.05</v>
      </c>
      <c r="E95" s="269">
        <f>D95*C95</f>
        <v>2182.0568700000003</v>
      </c>
      <c r="F95"/>
      <c r="G95" s="23"/>
    </row>
    <row r="96" spans="1:7" x14ac:dyDescent="0.2">
      <c r="A96" s="275" t="s">
        <v>272</v>
      </c>
      <c r="B96" s="276"/>
      <c r="C96" s="276"/>
      <c r="D96" s="277"/>
      <c r="E96" s="278">
        <f>E94+E95</f>
        <v>5018.1068700000005</v>
      </c>
      <c r="F96" s="279"/>
    </row>
    <row r="97" spans="1:7" ht="13.5" thickBot="1" x14ac:dyDescent="0.25">
      <c r="A97" s="265" t="s">
        <v>5</v>
      </c>
      <c r="B97" s="266" t="s">
        <v>6</v>
      </c>
      <c r="C97" s="280">
        <v>1</v>
      </c>
      <c r="D97" s="269">
        <f>E96</f>
        <v>5018.1068700000005</v>
      </c>
      <c r="E97" s="269">
        <f>C97*D97</f>
        <v>5018.1068700000005</v>
      </c>
      <c r="F97"/>
    </row>
    <row r="98" spans="1:7" ht="11.25" customHeight="1" thickBot="1" x14ac:dyDescent="0.25">
      <c r="A98"/>
      <c r="B98"/>
      <c r="C98" s="98"/>
      <c r="D98" s="281" t="s">
        <v>162</v>
      </c>
      <c r="E98" s="282">
        <v>1</v>
      </c>
      <c r="F98" s="283">
        <f>E97*E98</f>
        <v>5018.1068700000005</v>
      </c>
      <c r="G98" s="9"/>
    </row>
    <row r="99" spans="1:7" ht="13.5" thickBot="1" x14ac:dyDescent="0.25">
      <c r="A99" s="290" t="s">
        <v>274</v>
      </c>
      <c r="B99"/>
      <c r="C99" s="98"/>
      <c r="D99"/>
      <c r="E99"/>
      <c r="F99"/>
      <c r="G99" s="9"/>
    </row>
    <row r="100" spans="1:7" ht="13.5" thickBot="1" x14ac:dyDescent="0.25">
      <c r="A100" s="286" t="s">
        <v>49</v>
      </c>
      <c r="B100" s="287" t="s">
        <v>50</v>
      </c>
      <c r="C100" s="287" t="s">
        <v>31</v>
      </c>
      <c r="D100" s="288" t="s">
        <v>199</v>
      </c>
      <c r="E100" s="288" t="s">
        <v>51</v>
      </c>
      <c r="F100" s="289" t="s">
        <v>273</v>
      </c>
      <c r="G100" s="9"/>
    </row>
    <row r="101" spans="1:7" x14ac:dyDescent="0.2">
      <c r="A101" s="271" t="s">
        <v>179</v>
      </c>
      <c r="B101" s="272" t="s">
        <v>7</v>
      </c>
      <c r="C101" s="272">
        <v>1</v>
      </c>
      <c r="D101" s="268">
        <v>1548.59</v>
      </c>
      <c r="E101" s="273">
        <f>C101*D101</f>
        <v>1548.59</v>
      </c>
      <c r="F101"/>
      <c r="G101" s="9"/>
    </row>
    <row r="102" spans="1:7" x14ac:dyDescent="0.2">
      <c r="A102" s="265" t="s">
        <v>25</v>
      </c>
      <c r="B102" s="266" t="s">
        <v>0</v>
      </c>
      <c r="C102" s="274">
        <v>0</v>
      </c>
      <c r="D102" s="269">
        <f>D101/30*2</f>
        <v>103.23933333333333</v>
      </c>
      <c r="E102" s="269">
        <f>C102*D102</f>
        <v>0</v>
      </c>
      <c r="F102"/>
      <c r="G102" s="9"/>
    </row>
    <row r="103" spans="1:7" x14ac:dyDescent="0.2">
      <c r="A103" s="265" t="s">
        <v>26</v>
      </c>
      <c r="B103" s="266" t="s">
        <v>0</v>
      </c>
      <c r="C103" s="274">
        <v>0</v>
      </c>
      <c r="D103" s="269">
        <f>D101/30*1.5</f>
        <v>77.429500000000004</v>
      </c>
      <c r="E103" s="269">
        <f>C103*D103</f>
        <v>0</v>
      </c>
      <c r="F103" s="285"/>
      <c r="G103" s="9"/>
    </row>
    <row r="104" spans="1:7" x14ac:dyDescent="0.2">
      <c r="A104" s="275" t="s">
        <v>3</v>
      </c>
      <c r="B104" s="276"/>
      <c r="C104" s="276"/>
      <c r="D104" s="277"/>
      <c r="E104" s="278">
        <f>SUM(E101:E103)</f>
        <v>1548.59</v>
      </c>
      <c r="F104" s="279"/>
      <c r="G104" s="9"/>
    </row>
    <row r="105" spans="1:7" x14ac:dyDescent="0.2">
      <c r="A105" s="265" t="s">
        <v>4</v>
      </c>
      <c r="B105" s="266" t="s">
        <v>2</v>
      </c>
      <c r="C105" s="284">
        <f>'2.Encargos Sociais'!C34</f>
        <v>0.76940000000000008</v>
      </c>
      <c r="D105" s="269">
        <f>E104</f>
        <v>1548.59</v>
      </c>
      <c r="E105" s="269">
        <f>D105*C105</f>
        <v>1191.485146</v>
      </c>
      <c r="F105" s="285"/>
      <c r="G105" s="9"/>
    </row>
    <row r="106" spans="1:7" ht="11.25" customHeight="1" x14ac:dyDescent="0.2">
      <c r="A106" s="275" t="s">
        <v>272</v>
      </c>
      <c r="B106" s="276"/>
      <c r="C106" s="276"/>
      <c r="D106" s="277"/>
      <c r="E106" s="278">
        <f>E104+E105</f>
        <v>2740.0751460000001</v>
      </c>
      <c r="F106" s="279"/>
      <c r="G106" s="9"/>
    </row>
    <row r="107" spans="1:7" ht="13.5" thickBot="1" x14ac:dyDescent="0.25">
      <c r="A107" s="265" t="s">
        <v>5</v>
      </c>
      <c r="B107" s="266" t="s">
        <v>6</v>
      </c>
      <c r="C107" s="280">
        <v>1</v>
      </c>
      <c r="D107" s="269">
        <f>E106</f>
        <v>2740.0751460000001</v>
      </c>
      <c r="E107" s="269">
        <f>C107*D107</f>
        <v>2740.0751460000001</v>
      </c>
      <c r="F107"/>
      <c r="G107" s="9"/>
    </row>
    <row r="108" spans="1:7" ht="13.5" thickBot="1" x14ac:dyDescent="0.25">
      <c r="A108"/>
      <c r="B108"/>
      <c r="C108" s="98"/>
      <c r="D108" s="281" t="s">
        <v>162</v>
      </c>
      <c r="E108" s="282">
        <v>1</v>
      </c>
      <c r="F108" s="283">
        <f>E107*E108</f>
        <v>2740.0751460000001</v>
      </c>
      <c r="G108" s="9"/>
    </row>
    <row r="109" spans="1:7" ht="13.5" thickBot="1" x14ac:dyDescent="0.25">
      <c r="A109" s="7" t="s">
        <v>275</v>
      </c>
      <c r="B109" s="81"/>
      <c r="D109" s="9"/>
      <c r="E109" s="9"/>
      <c r="G109" s="9"/>
    </row>
    <row r="110" spans="1:7" ht="13.5" thickBot="1" x14ac:dyDescent="0.25">
      <c r="A110" s="51" t="s">
        <v>49</v>
      </c>
      <c r="B110" s="52" t="s">
        <v>50</v>
      </c>
      <c r="C110" s="52" t="s">
        <v>31</v>
      </c>
      <c r="D110" s="53" t="s">
        <v>199</v>
      </c>
      <c r="E110" s="53" t="s">
        <v>51</v>
      </c>
      <c r="F110" s="54" t="s">
        <v>52</v>
      </c>
      <c r="G110" s="9"/>
    </row>
    <row r="111" spans="1:7" x14ac:dyDescent="0.2">
      <c r="A111" s="16" t="s">
        <v>73</v>
      </c>
      <c r="B111" s="17" t="s">
        <v>24</v>
      </c>
      <c r="C111" s="82">
        <v>2</v>
      </c>
      <c r="D111" s="80">
        <v>3.5</v>
      </c>
      <c r="E111" s="18">
        <f>D111*C111</f>
        <v>7</v>
      </c>
      <c r="G111" s="9"/>
    </row>
    <row r="112" spans="1:7" x14ac:dyDescent="0.2">
      <c r="A112" s="16" t="s">
        <v>74</v>
      </c>
      <c r="B112" s="17" t="s">
        <v>75</v>
      </c>
      <c r="C112" s="79">
        <v>26</v>
      </c>
      <c r="D112" s="18"/>
      <c r="E112" s="18"/>
      <c r="G112" s="9"/>
    </row>
    <row r="113" spans="1:7" x14ac:dyDescent="0.2">
      <c r="A113" s="237" t="s">
        <v>247</v>
      </c>
      <c r="B113" s="17" t="s">
        <v>8</v>
      </c>
      <c r="C113" s="34">
        <f>C111*C112*C73</f>
        <v>52</v>
      </c>
      <c r="D113" s="15">
        <v>2.14</v>
      </c>
      <c r="E113" s="18">
        <f>IFERROR(C113*D113,"-")</f>
        <v>111.28</v>
      </c>
      <c r="G113" s="9"/>
    </row>
    <row r="114" spans="1:7" x14ac:dyDescent="0.2">
      <c r="A114" s="238" t="s">
        <v>277</v>
      </c>
      <c r="B114" s="17" t="s">
        <v>8</v>
      </c>
      <c r="C114" s="34">
        <f>C111*C112*C107</f>
        <v>52</v>
      </c>
      <c r="D114" s="15">
        <v>1.64</v>
      </c>
      <c r="E114" s="18">
        <f>IFERROR(C114*D114,"-")</f>
        <v>85.28</v>
      </c>
      <c r="G114" s="9"/>
    </row>
    <row r="115" spans="1:7" ht="13.5" thickBot="1" x14ac:dyDescent="0.25">
      <c r="A115" s="238" t="s">
        <v>252</v>
      </c>
      <c r="B115" s="14" t="s">
        <v>8</v>
      </c>
      <c r="C115" s="34">
        <v>52</v>
      </c>
      <c r="D115" s="15">
        <v>1.64</v>
      </c>
      <c r="E115" s="15">
        <f>IFERROR(C115*D115,"-")</f>
        <v>85.28</v>
      </c>
      <c r="G115" s="9"/>
    </row>
    <row r="116" spans="1:7" ht="13.5" thickBot="1" x14ac:dyDescent="0.25">
      <c r="F116" s="22">
        <f>SUM(E113:E115)</f>
        <v>281.84000000000003</v>
      </c>
      <c r="G116" s="9"/>
    </row>
    <row r="117" spans="1:7" ht="13.5" thickBot="1" x14ac:dyDescent="0.25">
      <c r="A117" s="7" t="s">
        <v>276</v>
      </c>
      <c r="F117" s="23"/>
      <c r="G117" s="9"/>
    </row>
    <row r="118" spans="1:7" ht="13.5" thickBot="1" x14ac:dyDescent="0.25">
      <c r="A118" s="51" t="s">
        <v>49</v>
      </c>
      <c r="B118" s="52" t="s">
        <v>50</v>
      </c>
      <c r="C118" s="52" t="s">
        <v>31</v>
      </c>
      <c r="D118" s="53" t="s">
        <v>199</v>
      </c>
      <c r="E118" s="53" t="s">
        <v>51</v>
      </c>
      <c r="F118" s="54" t="s">
        <v>52</v>
      </c>
      <c r="G118" s="9"/>
    </row>
    <row r="119" spans="1:7" x14ac:dyDescent="0.2">
      <c r="A119" s="237" t="s">
        <v>247</v>
      </c>
      <c r="B119" s="17" t="s">
        <v>9</v>
      </c>
      <c r="C119" s="34">
        <f>C112*C107</f>
        <v>26</v>
      </c>
      <c r="D119" s="77">
        <v>19.5</v>
      </c>
      <c r="E119" s="45">
        <f>C119*D119</f>
        <v>507</v>
      </c>
      <c r="F119" s="23"/>
    </row>
    <row r="120" spans="1:7" x14ac:dyDescent="0.2">
      <c r="A120" s="16" t="str">
        <f>+A115</f>
        <v>operador</v>
      </c>
      <c r="B120" s="17" t="s">
        <v>9</v>
      </c>
      <c r="C120" s="34">
        <v>26</v>
      </c>
      <c r="D120" s="77">
        <v>11.7</v>
      </c>
      <c r="E120" s="45">
        <f>C120*D120</f>
        <v>304.2</v>
      </c>
      <c r="F120" s="23"/>
      <c r="G120" s="9"/>
    </row>
    <row r="121" spans="1:7" x14ac:dyDescent="0.2">
      <c r="A121" s="265" t="s">
        <v>278</v>
      </c>
      <c r="B121" s="266" t="s">
        <v>9</v>
      </c>
      <c r="C121" s="291">
        <v>26</v>
      </c>
      <c r="D121" s="292">
        <v>19.5</v>
      </c>
      <c r="E121" s="282">
        <f>C121*D121</f>
        <v>507</v>
      </c>
      <c r="F121" s="23"/>
      <c r="G121" s="9"/>
    </row>
    <row r="122" spans="1:7" x14ac:dyDescent="0.2">
      <c r="A122" s="265" t="s">
        <v>279</v>
      </c>
      <c r="B122" s="266" t="s">
        <v>9</v>
      </c>
      <c r="C122" s="291">
        <v>26</v>
      </c>
      <c r="D122" s="292">
        <v>19.5</v>
      </c>
      <c r="E122" s="282">
        <f>C122*D122</f>
        <v>507</v>
      </c>
      <c r="F122" s="23"/>
      <c r="G122" s="9"/>
    </row>
    <row r="123" spans="1:7" x14ac:dyDescent="0.2">
      <c r="A123" s="297" t="s">
        <v>312</v>
      </c>
      <c r="B123" s="298" t="s">
        <v>50</v>
      </c>
      <c r="C123" s="294">
        <v>1</v>
      </c>
      <c r="D123" s="295">
        <f>(((D65/100)*7)*C123)</f>
        <v>97.808899999999994</v>
      </c>
      <c r="E123" s="282">
        <f>E119-D123</f>
        <v>409.19110000000001</v>
      </c>
      <c r="F123" s="23"/>
      <c r="G123" s="9"/>
    </row>
    <row r="124" spans="1:7" x14ac:dyDescent="0.2">
      <c r="A124" s="297" t="s">
        <v>313</v>
      </c>
      <c r="B124" s="293" t="s">
        <v>9</v>
      </c>
      <c r="C124" s="294">
        <v>1</v>
      </c>
      <c r="D124" s="295">
        <f>(((D77/100)*7)*C124)</f>
        <v>152.6</v>
      </c>
      <c r="E124" s="282">
        <f>E120-D124</f>
        <v>151.6</v>
      </c>
      <c r="F124" s="23"/>
      <c r="G124" s="9"/>
    </row>
    <row r="125" spans="1:7" x14ac:dyDescent="0.2">
      <c r="A125" s="237" t="s">
        <v>314</v>
      </c>
      <c r="B125" s="293" t="s">
        <v>9</v>
      </c>
      <c r="C125" s="291">
        <v>1</v>
      </c>
      <c r="D125" s="295">
        <f>(((D101/100)*7)*C125)</f>
        <v>108.40129999999999</v>
      </c>
      <c r="E125" s="296">
        <f>E121-D125</f>
        <v>398.59870000000001</v>
      </c>
      <c r="F125" s="23"/>
      <c r="G125" s="9"/>
    </row>
    <row r="126" spans="1:7" ht="13.5" thickBot="1" x14ac:dyDescent="0.25">
      <c r="A126" s="237" t="s">
        <v>315</v>
      </c>
      <c r="B126" s="266" t="s">
        <v>9</v>
      </c>
      <c r="C126" s="291">
        <v>1</v>
      </c>
      <c r="D126" s="292">
        <f>(((D91/100)*7)*C126)</f>
        <v>198.52350000000001</v>
      </c>
      <c r="E126" s="282">
        <f>(E122-D126)</f>
        <v>308.47649999999999</v>
      </c>
      <c r="F126" s="23"/>
      <c r="G126" s="9"/>
    </row>
    <row r="127" spans="1:7" ht="11.25" customHeight="1" thickBot="1" x14ac:dyDescent="0.25">
      <c r="F127" s="22">
        <f>SUM(E123:E126)</f>
        <v>1267.8663000000001</v>
      </c>
      <c r="G127" s="9"/>
    </row>
    <row r="128" spans="1:7" ht="11.25" customHeight="1" thickBot="1" x14ac:dyDescent="0.25">
      <c r="A128" s="7" t="s">
        <v>224</v>
      </c>
      <c r="F128" s="23"/>
      <c r="G128" s="9"/>
    </row>
    <row r="129" spans="1:7" ht="13.5" thickBot="1" x14ac:dyDescent="0.25">
      <c r="A129" s="51" t="s">
        <v>49</v>
      </c>
      <c r="B129" s="52" t="s">
        <v>50</v>
      </c>
      <c r="C129" s="52" t="s">
        <v>31</v>
      </c>
      <c r="D129" s="53" t="s">
        <v>199</v>
      </c>
      <c r="E129" s="53" t="s">
        <v>51</v>
      </c>
      <c r="F129" s="54" t="s">
        <v>52</v>
      </c>
      <c r="G129" s="9"/>
    </row>
    <row r="130" spans="1:7" x14ac:dyDescent="0.2">
      <c r="A130" s="237" t="s">
        <v>223</v>
      </c>
      <c r="B130" s="17" t="s">
        <v>9</v>
      </c>
      <c r="C130" s="34"/>
      <c r="D130" s="77">
        <v>0</v>
      </c>
      <c r="E130" s="45">
        <f>C130*D130</f>
        <v>0</v>
      </c>
      <c r="F130" s="23"/>
      <c r="G130" s="9"/>
    </row>
    <row r="131" spans="1:7" ht="13.15" customHeight="1" thickBot="1" x14ac:dyDescent="0.25">
      <c r="A131" s="16" t="str">
        <f>+A120</f>
        <v>operador</v>
      </c>
      <c r="B131" s="17" t="s">
        <v>9</v>
      </c>
      <c r="C131" s="34"/>
      <c r="D131" s="77">
        <v>0</v>
      </c>
      <c r="E131" s="45">
        <f>C131*D131</f>
        <v>0</v>
      </c>
      <c r="F131" s="23"/>
      <c r="G131" s="9"/>
    </row>
    <row r="132" spans="1:7" ht="13.5" thickBot="1" x14ac:dyDescent="0.25">
      <c r="D132" s="99" t="s">
        <v>162</v>
      </c>
      <c r="E132" s="45">
        <f>$B$59</f>
        <v>1</v>
      </c>
      <c r="F132" s="22">
        <f>SUM(E130:E131)*E132</f>
        <v>0</v>
      </c>
      <c r="G132" s="9"/>
    </row>
    <row r="133" spans="1:7" ht="13.15" customHeight="1" thickBot="1" x14ac:dyDescent="0.25">
      <c r="G133" s="9"/>
    </row>
    <row r="134" spans="1:7" ht="13.9" customHeight="1" thickBot="1" x14ac:dyDescent="0.25">
      <c r="A134" s="24" t="s">
        <v>76</v>
      </c>
      <c r="B134" s="25"/>
      <c r="C134" s="25"/>
      <c r="D134" s="26"/>
      <c r="E134" s="27"/>
      <c r="F134" s="22">
        <f>F132+F127+F116+F98+F88+F74+F108</f>
        <v>17909.005191627108</v>
      </c>
      <c r="G134" s="9"/>
    </row>
    <row r="135" spans="1:7" ht="13.15" customHeight="1" x14ac:dyDescent="0.2"/>
    <row r="136" spans="1:7" x14ac:dyDescent="0.2">
      <c r="A136" s="11" t="s">
        <v>35</v>
      </c>
    </row>
    <row r="137" spans="1:7" s="1" customFormat="1" x14ac:dyDescent="0.2">
      <c r="A137" s="9"/>
      <c r="B137" s="9"/>
      <c r="C137" s="9"/>
      <c r="D137" s="10"/>
      <c r="E137" s="10"/>
      <c r="F137" s="10"/>
      <c r="G137" s="35"/>
    </row>
    <row r="138" spans="1:7" x14ac:dyDescent="0.2">
      <c r="A138" s="7" t="s">
        <v>248</v>
      </c>
    </row>
    <row r="139" spans="1:7" ht="13.15" customHeight="1" thickBot="1" x14ac:dyDescent="0.25"/>
    <row r="140" spans="1:7" ht="24.75" thickBot="1" x14ac:dyDescent="0.25">
      <c r="A140" s="51" t="s">
        <v>49</v>
      </c>
      <c r="B140" s="52" t="s">
        <v>50</v>
      </c>
      <c r="C140" s="226" t="s">
        <v>214</v>
      </c>
      <c r="D140" s="53" t="s">
        <v>199</v>
      </c>
      <c r="E140" s="53" t="s">
        <v>51</v>
      </c>
      <c r="F140" s="54" t="s">
        <v>52</v>
      </c>
    </row>
    <row r="141" spans="1:7" x14ac:dyDescent="0.2">
      <c r="A141" s="13" t="s">
        <v>53</v>
      </c>
      <c r="B141" s="14" t="s">
        <v>9</v>
      </c>
      <c r="C141" s="83">
        <v>12</v>
      </c>
      <c r="D141" s="75">
        <v>134</v>
      </c>
      <c r="E141" s="15">
        <f>IFERROR(D141/C141,0)</f>
        <v>11.166666666666666</v>
      </c>
    </row>
    <row r="142" spans="1:7" x14ac:dyDescent="0.2">
      <c r="A142" s="16" t="s">
        <v>20</v>
      </c>
      <c r="B142" s="17" t="s">
        <v>9</v>
      </c>
      <c r="C142" s="83">
        <v>1</v>
      </c>
      <c r="D142" s="75">
        <v>55.5</v>
      </c>
      <c r="E142" s="15">
        <f t="shared" ref="E142:E150" si="1">IFERROR(D142/C142,0)</f>
        <v>55.5</v>
      </c>
    </row>
    <row r="143" spans="1:7" ht="11.25" customHeight="1" x14ac:dyDescent="0.2">
      <c r="A143" s="16" t="s">
        <v>21</v>
      </c>
      <c r="B143" s="17" t="s">
        <v>9</v>
      </c>
      <c r="C143" s="83">
        <v>1</v>
      </c>
      <c r="D143" s="75">
        <v>35</v>
      </c>
      <c r="E143" s="15">
        <f t="shared" si="1"/>
        <v>35</v>
      </c>
    </row>
    <row r="144" spans="1:7" ht="13.9" customHeight="1" x14ac:dyDescent="0.2">
      <c r="A144" s="16" t="s">
        <v>22</v>
      </c>
      <c r="B144" s="17" t="s">
        <v>9</v>
      </c>
      <c r="C144" s="83">
        <v>6</v>
      </c>
      <c r="D144" s="75">
        <v>15</v>
      </c>
      <c r="E144" s="15">
        <f t="shared" si="1"/>
        <v>2.5</v>
      </c>
    </row>
    <row r="145" spans="1:7" ht="11.25" customHeight="1" x14ac:dyDescent="0.2">
      <c r="A145" s="237" t="s">
        <v>244</v>
      </c>
      <c r="B145" s="17" t="s">
        <v>38</v>
      </c>
      <c r="C145" s="83">
        <v>4</v>
      </c>
      <c r="D145" s="75">
        <v>90</v>
      </c>
      <c r="E145" s="15">
        <f t="shared" si="1"/>
        <v>22.5</v>
      </c>
    </row>
    <row r="146" spans="1:7" x14ac:dyDescent="0.2">
      <c r="A146" s="16" t="s">
        <v>77</v>
      </c>
      <c r="B146" s="17" t="s">
        <v>38</v>
      </c>
      <c r="C146" s="83">
        <v>3</v>
      </c>
      <c r="D146" s="75">
        <v>7</v>
      </c>
      <c r="E146" s="15">
        <f t="shared" si="1"/>
        <v>2.3333333333333335</v>
      </c>
    </row>
    <row r="147" spans="1:7" x14ac:dyDescent="0.2">
      <c r="A147" s="16" t="s">
        <v>54</v>
      </c>
      <c r="B147" s="17" t="s">
        <v>9</v>
      </c>
      <c r="C147" s="83">
        <v>3</v>
      </c>
      <c r="D147" s="75">
        <v>32.5</v>
      </c>
      <c r="E147" s="15">
        <f t="shared" si="1"/>
        <v>10.833333333333334</v>
      </c>
    </row>
    <row r="148" spans="1:7" x14ac:dyDescent="0.2">
      <c r="A148" s="2" t="s">
        <v>10</v>
      </c>
      <c r="B148" s="3" t="s">
        <v>9</v>
      </c>
      <c r="C148" s="83">
        <v>4</v>
      </c>
      <c r="D148" s="75">
        <v>25</v>
      </c>
      <c r="E148" s="15">
        <f t="shared" si="1"/>
        <v>6.25</v>
      </c>
      <c r="F148" s="35"/>
    </row>
    <row r="149" spans="1:7" x14ac:dyDescent="0.2">
      <c r="A149" s="16" t="s">
        <v>23</v>
      </c>
      <c r="B149" s="17" t="s">
        <v>38</v>
      </c>
      <c r="C149" s="83">
        <v>0.25</v>
      </c>
      <c r="D149" s="75">
        <v>28</v>
      </c>
      <c r="E149" s="15">
        <f t="shared" si="1"/>
        <v>112</v>
      </c>
    </row>
    <row r="150" spans="1:7" x14ac:dyDescent="0.2">
      <c r="A150" s="16" t="s">
        <v>48</v>
      </c>
      <c r="B150" s="17" t="s">
        <v>39</v>
      </c>
      <c r="C150" s="83">
        <v>1</v>
      </c>
      <c r="D150" s="75">
        <v>34</v>
      </c>
      <c r="E150" s="15">
        <f t="shared" si="1"/>
        <v>34</v>
      </c>
    </row>
    <row r="151" spans="1:7" x14ac:dyDescent="0.2">
      <c r="A151" s="237" t="s">
        <v>245</v>
      </c>
      <c r="B151" s="252" t="s">
        <v>243</v>
      </c>
      <c r="C151" s="83">
        <v>1</v>
      </c>
      <c r="D151" s="75">
        <v>66</v>
      </c>
      <c r="E151" s="15">
        <f>IFERROR(D151/C151,0)</f>
        <v>66</v>
      </c>
      <c r="G151" s="9"/>
    </row>
    <row r="152" spans="1:7" ht="13.5" thickBot="1" x14ac:dyDescent="0.25">
      <c r="A152" s="16" t="s">
        <v>5</v>
      </c>
      <c r="B152" s="17" t="s">
        <v>6</v>
      </c>
      <c r="C152" s="60">
        <v>1</v>
      </c>
      <c r="D152" s="18">
        <f>+SUM(E141:E151)</f>
        <v>358.08333333333337</v>
      </c>
      <c r="E152" s="18">
        <f>C152*D152</f>
        <v>358.08333333333337</v>
      </c>
      <c r="G152" s="9"/>
    </row>
    <row r="153" spans="1:7" ht="13.5" thickBot="1" x14ac:dyDescent="0.25">
      <c r="D153" s="99" t="s">
        <v>162</v>
      </c>
      <c r="E153" s="45">
        <v>1</v>
      </c>
      <c r="F153" s="100">
        <f>E152*E153</f>
        <v>358.08333333333337</v>
      </c>
      <c r="G153" s="9"/>
    </row>
    <row r="154" spans="1:7" x14ac:dyDescent="0.2">
      <c r="A154" s="7" t="s">
        <v>309</v>
      </c>
      <c r="G154" s="9"/>
    </row>
    <row r="155" spans="1:7" ht="11.25" customHeight="1" thickBot="1" x14ac:dyDescent="0.25">
      <c r="G155" s="9"/>
    </row>
    <row r="156" spans="1:7" ht="24.75" thickBot="1" x14ac:dyDescent="0.25">
      <c r="A156" s="51" t="s">
        <v>49</v>
      </c>
      <c r="B156" s="52" t="s">
        <v>50</v>
      </c>
      <c r="C156" s="226" t="s">
        <v>214</v>
      </c>
      <c r="D156" s="53" t="s">
        <v>199</v>
      </c>
      <c r="E156" s="53" t="s">
        <v>51</v>
      </c>
      <c r="F156" s="54" t="s">
        <v>52</v>
      </c>
      <c r="G156" s="9"/>
    </row>
    <row r="157" spans="1:7" ht="11.25" customHeight="1" x14ac:dyDescent="0.2">
      <c r="A157" s="13" t="s">
        <v>53</v>
      </c>
      <c r="B157" s="14" t="s">
        <v>9</v>
      </c>
      <c r="C157" s="83">
        <v>12</v>
      </c>
      <c r="D157" s="342">
        <v>134</v>
      </c>
      <c r="E157" s="15">
        <f>IFERROR(D157/C157,0)</f>
        <v>11.166666666666666</v>
      </c>
      <c r="G157" s="9"/>
    </row>
    <row r="158" spans="1:7" x14ac:dyDescent="0.2">
      <c r="A158" s="16" t="s">
        <v>20</v>
      </c>
      <c r="B158" s="17" t="s">
        <v>9</v>
      </c>
      <c r="C158" s="83">
        <v>4</v>
      </c>
      <c r="D158" s="342">
        <v>55.5</v>
      </c>
      <c r="E158" s="15">
        <f t="shared" ref="E158:E163" si="2">IFERROR(D158/C158,0)</f>
        <v>13.875</v>
      </c>
      <c r="G158" s="9"/>
    </row>
    <row r="159" spans="1:7" ht="11.25" customHeight="1" x14ac:dyDescent="0.2">
      <c r="A159" s="16" t="s">
        <v>21</v>
      </c>
      <c r="B159" s="17" t="s">
        <v>9</v>
      </c>
      <c r="C159" s="83">
        <v>2</v>
      </c>
      <c r="D159" s="342">
        <v>35</v>
      </c>
      <c r="E159" s="15">
        <f t="shared" si="2"/>
        <v>17.5</v>
      </c>
      <c r="G159" s="9"/>
    </row>
    <row r="160" spans="1:7" x14ac:dyDescent="0.2">
      <c r="A160" s="237" t="s">
        <v>220</v>
      </c>
      <c r="B160" s="17" t="s">
        <v>38</v>
      </c>
      <c r="C160" s="83">
        <v>4</v>
      </c>
      <c r="D160" s="18">
        <v>32.5</v>
      </c>
      <c r="E160" s="15">
        <f t="shared" si="2"/>
        <v>8.125</v>
      </c>
      <c r="G160" s="9"/>
    </row>
    <row r="161" spans="1:10" ht="11.25" customHeight="1" x14ac:dyDescent="0.2">
      <c r="A161" s="16" t="s">
        <v>54</v>
      </c>
      <c r="B161" s="17" t="s">
        <v>9</v>
      </c>
      <c r="C161" s="83">
        <v>4</v>
      </c>
      <c r="D161" s="18">
        <f>+D147</f>
        <v>32.5</v>
      </c>
      <c r="E161" s="15">
        <f t="shared" si="2"/>
        <v>8.125</v>
      </c>
      <c r="G161" s="9"/>
    </row>
    <row r="162" spans="1:10" x14ac:dyDescent="0.2">
      <c r="A162" s="16" t="s">
        <v>48</v>
      </c>
      <c r="B162" s="17" t="s">
        <v>39</v>
      </c>
      <c r="C162" s="83">
        <v>2</v>
      </c>
      <c r="D162" s="18">
        <v>34</v>
      </c>
      <c r="E162" s="15">
        <f t="shared" si="2"/>
        <v>17</v>
      </c>
      <c r="G162" s="9"/>
    </row>
    <row r="163" spans="1:10" x14ac:dyDescent="0.2">
      <c r="A163" s="237" t="s">
        <v>242</v>
      </c>
      <c r="B163" s="252" t="s">
        <v>243</v>
      </c>
      <c r="C163" s="83">
        <v>1</v>
      </c>
      <c r="D163" s="18">
        <v>66</v>
      </c>
      <c r="E163" s="15">
        <f t="shared" si="2"/>
        <v>66</v>
      </c>
      <c r="G163" s="9"/>
    </row>
    <row r="164" spans="1:10" ht="13.5" thickBot="1" x14ac:dyDescent="0.25">
      <c r="A164" s="16" t="s">
        <v>5</v>
      </c>
      <c r="B164" s="17" t="s">
        <v>6</v>
      </c>
      <c r="C164" s="60">
        <v>3</v>
      </c>
      <c r="D164" s="18">
        <f>+SUM(E157:E163)</f>
        <v>141.79166666666666</v>
      </c>
      <c r="E164" s="18">
        <f t="shared" ref="E164" si="3">C164*D164</f>
        <v>425.375</v>
      </c>
      <c r="G164" s="9"/>
    </row>
    <row r="165" spans="1:10" ht="13.5" thickBot="1" x14ac:dyDescent="0.25">
      <c r="D165" s="99" t="s">
        <v>162</v>
      </c>
      <c r="E165" s="45">
        <v>1</v>
      </c>
      <c r="F165" s="100">
        <f>E164*E165</f>
        <v>425.375</v>
      </c>
      <c r="G165" s="9"/>
    </row>
    <row r="166" spans="1:10" ht="13.5" thickBot="1" x14ac:dyDescent="0.25">
      <c r="I166" s="73"/>
      <c r="J166" s="73"/>
    </row>
    <row r="167" spans="1:10" ht="13.5" thickBot="1" x14ac:dyDescent="0.25">
      <c r="A167" s="24" t="s">
        <v>164</v>
      </c>
      <c r="B167" s="28"/>
      <c r="C167" s="28"/>
      <c r="D167" s="29"/>
      <c r="E167" s="30"/>
      <c r="F167" s="21">
        <f>+F153+F165</f>
        <v>783.45833333333337</v>
      </c>
    </row>
    <row r="169" spans="1:10" x14ac:dyDescent="0.2">
      <c r="A169" s="299" t="s">
        <v>280</v>
      </c>
      <c r="G169" s="9"/>
    </row>
    <row r="170" spans="1:10" x14ac:dyDescent="0.2">
      <c r="B170" s="87"/>
    </row>
    <row r="171" spans="1:10" x14ac:dyDescent="0.2">
      <c r="A171" s="7" t="s">
        <v>263</v>
      </c>
      <c r="I171" s="73"/>
      <c r="J171" s="73"/>
    </row>
    <row r="173" spans="1:10" ht="13.5" thickBot="1" x14ac:dyDescent="0.25">
      <c r="A173" s="87" t="s">
        <v>36</v>
      </c>
    </row>
    <row r="174" spans="1:10" ht="13.5" thickBot="1" x14ac:dyDescent="0.25">
      <c r="A174" s="51" t="s">
        <v>49</v>
      </c>
      <c r="B174" s="52" t="s">
        <v>50</v>
      </c>
      <c r="C174" s="52" t="s">
        <v>31</v>
      </c>
      <c r="D174" s="53" t="s">
        <v>199</v>
      </c>
      <c r="E174" s="53" t="s">
        <v>51</v>
      </c>
      <c r="F174" s="54" t="s">
        <v>52</v>
      </c>
    </row>
    <row r="175" spans="1:10" x14ac:dyDescent="0.2">
      <c r="A175" s="238" t="s">
        <v>253</v>
      </c>
      <c r="B175" s="14" t="s">
        <v>9</v>
      </c>
      <c r="C175" s="14">
        <v>1</v>
      </c>
      <c r="D175" s="75">
        <v>320000</v>
      </c>
      <c r="E175" s="15">
        <f>C175*D175</f>
        <v>320000</v>
      </c>
    </row>
    <row r="176" spans="1:10" x14ac:dyDescent="0.2">
      <c r="A176" s="237" t="s">
        <v>264</v>
      </c>
      <c r="B176" s="17" t="s">
        <v>80</v>
      </c>
      <c r="C176" s="74">
        <v>6</v>
      </c>
      <c r="D176" s="18"/>
      <c r="E176" s="18"/>
    </row>
    <row r="177" spans="1:10" ht="11.25" customHeight="1" x14ac:dyDescent="0.2">
      <c r="A177" s="16" t="s">
        <v>176</v>
      </c>
      <c r="B177" s="17" t="s">
        <v>80</v>
      </c>
      <c r="C177" s="74">
        <v>0</v>
      </c>
      <c r="D177" s="18"/>
      <c r="E177" s="18"/>
      <c r="F177" s="20"/>
    </row>
    <row r="178" spans="1:10" x14ac:dyDescent="0.2">
      <c r="A178" s="16" t="s">
        <v>81</v>
      </c>
      <c r="B178" s="17" t="s">
        <v>2</v>
      </c>
      <c r="C178" s="114">
        <f>IFERROR(VLOOKUP(C176,'5. Depreciação'!A3:B17,2,FALSE),0)</f>
        <v>58.18</v>
      </c>
      <c r="D178" s="18">
        <v>320000</v>
      </c>
      <c r="E178" s="18">
        <f>C178*D178/100</f>
        <v>186176</v>
      </c>
    </row>
    <row r="179" spans="1:10" ht="13.5" thickBot="1" x14ac:dyDescent="0.25">
      <c r="A179" s="234" t="s">
        <v>308</v>
      </c>
      <c r="B179" s="235" t="s">
        <v>7</v>
      </c>
      <c r="C179" s="235">
        <v>60</v>
      </c>
      <c r="D179" s="236">
        <f>IF(C177&lt;=C176*1.1,E178,0)</f>
        <v>186176</v>
      </c>
      <c r="E179" s="236">
        <f>IFERROR(D179/C179,0)</f>
        <v>3102.9333333333334</v>
      </c>
      <c r="I179" s="73"/>
      <c r="J179" s="73"/>
    </row>
    <row r="180" spans="1:10" ht="13.5" thickTop="1" x14ac:dyDescent="0.2">
      <c r="A180" s="95" t="s">
        <v>217</v>
      </c>
      <c r="B180" s="96"/>
      <c r="C180" s="96"/>
      <c r="D180" s="31"/>
      <c r="E180" s="97">
        <f>E179</f>
        <v>3102.9333333333334</v>
      </c>
      <c r="I180" s="73"/>
      <c r="J180" s="73"/>
    </row>
    <row r="181" spans="1:10" ht="13.5" thickBot="1" x14ac:dyDescent="0.25">
      <c r="A181" s="84" t="s">
        <v>218</v>
      </c>
      <c r="B181" s="85" t="s">
        <v>9</v>
      </c>
      <c r="C181" s="74">
        <v>1</v>
      </c>
      <c r="D181" s="86">
        <f>E180</f>
        <v>3102.9333333333334</v>
      </c>
      <c r="E181" s="97">
        <f>C181*D181</f>
        <v>3102.9333333333334</v>
      </c>
      <c r="I181" s="73"/>
      <c r="J181" s="73"/>
    </row>
    <row r="182" spans="1:10" ht="13.5" thickBot="1" x14ac:dyDescent="0.25">
      <c r="A182" s="229"/>
      <c r="B182" s="229"/>
      <c r="C182" s="229"/>
      <c r="D182" s="99" t="s">
        <v>162</v>
      </c>
      <c r="E182" s="45">
        <v>1</v>
      </c>
      <c r="F182" s="21">
        <f>E181*E182</f>
        <v>3102.9333333333334</v>
      </c>
      <c r="I182" s="73"/>
      <c r="J182" s="73"/>
    </row>
    <row r="183" spans="1:10" ht="13.5" thickBot="1" x14ac:dyDescent="0.25">
      <c r="A183" s="87" t="s">
        <v>84</v>
      </c>
      <c r="I183" s="73"/>
      <c r="J183" s="73"/>
    </row>
    <row r="184" spans="1:10" ht="13.5" thickBot="1" x14ac:dyDescent="0.25">
      <c r="A184" s="89" t="s">
        <v>49</v>
      </c>
      <c r="B184" s="90" t="s">
        <v>50</v>
      </c>
      <c r="C184" s="90" t="s">
        <v>31</v>
      </c>
      <c r="D184" s="53" t="s">
        <v>199</v>
      </c>
      <c r="E184" s="91" t="s">
        <v>51</v>
      </c>
      <c r="F184" s="54" t="s">
        <v>52</v>
      </c>
      <c r="I184" s="73"/>
      <c r="J184" s="73"/>
    </row>
    <row r="185" spans="1:10" x14ac:dyDescent="0.2">
      <c r="A185" s="237" t="s">
        <v>254</v>
      </c>
      <c r="B185" s="17" t="s">
        <v>9</v>
      </c>
      <c r="C185" s="14">
        <v>1</v>
      </c>
      <c r="D185" s="18">
        <v>320000</v>
      </c>
      <c r="E185" s="18">
        <f>C185*D185</f>
        <v>320000</v>
      </c>
      <c r="F185" s="20"/>
      <c r="I185" s="73"/>
      <c r="J185" s="73"/>
    </row>
    <row r="186" spans="1:10" x14ac:dyDescent="0.2">
      <c r="A186" s="16" t="s">
        <v>178</v>
      </c>
      <c r="B186" s="17" t="s">
        <v>2</v>
      </c>
      <c r="C186" s="74">
        <v>2</v>
      </c>
      <c r="D186" s="18"/>
      <c r="E186" s="18"/>
      <c r="F186" s="20"/>
      <c r="I186" s="73"/>
      <c r="J186" s="73"/>
    </row>
    <row r="187" spans="1:10" ht="11.25" customHeight="1" x14ac:dyDescent="0.2">
      <c r="A187" s="16" t="s">
        <v>177</v>
      </c>
      <c r="B187" s="17" t="s">
        <v>24</v>
      </c>
      <c r="C187" s="119">
        <v>320000</v>
      </c>
      <c r="D187" s="18"/>
      <c r="E187" s="18"/>
      <c r="F187" s="20"/>
      <c r="I187" s="73"/>
      <c r="J187" s="73"/>
    </row>
    <row r="188" spans="1:10" x14ac:dyDescent="0.2">
      <c r="A188" s="237" t="s">
        <v>255</v>
      </c>
      <c r="B188" s="17" t="s">
        <v>24</v>
      </c>
      <c r="C188" s="18">
        <f>IFERROR(IF(C177&gt;=C176,C187,((((C187)-(E175-E178))*(((C176-C177)+1)/(2*(C176-C177))))+(E175-E178))),0)</f>
        <v>242426.66666666669</v>
      </c>
      <c r="D188" s="18"/>
      <c r="E188" s="18"/>
      <c r="F188" s="20"/>
      <c r="I188" s="73"/>
      <c r="J188" s="73"/>
    </row>
    <row r="189" spans="1:10" ht="13.5" thickBot="1" x14ac:dyDescent="0.25">
      <c r="A189" s="234" t="s">
        <v>86</v>
      </c>
      <c r="B189" s="235" t="s">
        <v>24</v>
      </c>
      <c r="C189" s="235"/>
      <c r="D189" s="236">
        <f>C186*C188/12/100</f>
        <v>404.04444444444448</v>
      </c>
      <c r="E189" s="236">
        <f>D189</f>
        <v>404.04444444444448</v>
      </c>
      <c r="F189" s="20"/>
      <c r="I189" s="73"/>
      <c r="J189" s="73"/>
    </row>
    <row r="190" spans="1:10" ht="14.25" thickTop="1" thickBot="1" x14ac:dyDescent="0.25">
      <c r="A190" s="84" t="s">
        <v>218</v>
      </c>
      <c r="B190" s="85" t="s">
        <v>9</v>
      </c>
      <c r="C190" s="17">
        <f>C181</f>
        <v>1</v>
      </c>
      <c r="D190" s="86">
        <f>E189</f>
        <v>404.04444444444448</v>
      </c>
      <c r="E190" s="97">
        <f>C190*D190</f>
        <v>404.04444444444448</v>
      </c>
      <c r="F190" s="20"/>
      <c r="I190" s="73"/>
      <c r="J190" s="73"/>
    </row>
    <row r="191" spans="1:10" ht="13.5" thickBot="1" x14ac:dyDescent="0.25">
      <c r="C191" s="19"/>
      <c r="D191" s="99" t="s">
        <v>162</v>
      </c>
      <c r="E191" s="45">
        <v>1</v>
      </c>
      <c r="F191" s="21">
        <f>E190*E191</f>
        <v>404.04444444444448</v>
      </c>
      <c r="I191" s="73"/>
      <c r="J191" s="73"/>
    </row>
    <row r="192" spans="1:10" ht="13.5" thickBot="1" x14ac:dyDescent="0.25">
      <c r="A192" s="9" t="s">
        <v>40</v>
      </c>
      <c r="I192" s="73"/>
      <c r="J192" s="73"/>
    </row>
    <row r="193" spans="1:10" ht="13.5" thickBot="1" x14ac:dyDescent="0.25">
      <c r="A193" s="51" t="s">
        <v>49</v>
      </c>
      <c r="B193" s="52" t="s">
        <v>50</v>
      </c>
      <c r="C193" s="52" t="s">
        <v>31</v>
      </c>
      <c r="D193" s="53">
        <v>0</v>
      </c>
      <c r="E193" s="53" t="s">
        <v>51</v>
      </c>
      <c r="F193" s="54" t="s">
        <v>52</v>
      </c>
      <c r="I193" s="73"/>
      <c r="J193" s="73"/>
    </row>
    <row r="194" spans="1:10" x14ac:dyDescent="0.2">
      <c r="A194" s="13" t="s">
        <v>11</v>
      </c>
      <c r="B194" s="14" t="s">
        <v>9</v>
      </c>
      <c r="C194" s="15">
        <v>0</v>
      </c>
      <c r="D194" s="15">
        <v>0</v>
      </c>
      <c r="E194" s="15">
        <f>C194*D194</f>
        <v>0</v>
      </c>
      <c r="G194" s="255"/>
      <c r="I194" s="73"/>
      <c r="J194" s="73"/>
    </row>
    <row r="195" spans="1:10" x14ac:dyDescent="0.2">
      <c r="A195" s="16" t="s">
        <v>161</v>
      </c>
      <c r="B195" s="17" t="s">
        <v>9</v>
      </c>
      <c r="C195" s="15">
        <v>0</v>
      </c>
      <c r="D195" s="77">
        <v>0</v>
      </c>
      <c r="E195" s="18">
        <f>C195*D195</f>
        <v>0</v>
      </c>
      <c r="G195" s="255"/>
      <c r="I195" s="73"/>
      <c r="J195" s="73"/>
    </row>
    <row r="196" spans="1:10" x14ac:dyDescent="0.2">
      <c r="A196" s="237" t="s">
        <v>256</v>
      </c>
      <c r="B196" s="17" t="s">
        <v>9</v>
      </c>
      <c r="C196" s="15">
        <v>1</v>
      </c>
      <c r="D196" s="77">
        <v>8500</v>
      </c>
      <c r="E196" s="18">
        <f>C196*D196</f>
        <v>8500</v>
      </c>
      <c r="F196" s="31"/>
      <c r="G196" s="255"/>
      <c r="I196" s="73"/>
      <c r="J196" s="73"/>
    </row>
    <row r="197" spans="1:10" ht="13.5" thickBot="1" x14ac:dyDescent="0.25">
      <c r="A197" s="84" t="s">
        <v>12</v>
      </c>
      <c r="B197" s="85" t="s">
        <v>7</v>
      </c>
      <c r="C197" s="85">
        <v>12</v>
      </c>
      <c r="D197" s="86">
        <f>SUM(E194:E196)</f>
        <v>8500</v>
      </c>
      <c r="E197" s="86">
        <f>D197/C197</f>
        <v>708.33333333333337</v>
      </c>
      <c r="G197" s="255"/>
      <c r="I197" s="73"/>
      <c r="J197" s="73"/>
    </row>
    <row r="198" spans="1:10" ht="13.5" thickBot="1" x14ac:dyDescent="0.25">
      <c r="D198" s="99" t="s">
        <v>162</v>
      </c>
      <c r="E198" s="45">
        <v>1</v>
      </c>
      <c r="F198" s="100">
        <f>E197*E198</f>
        <v>708.33333333333337</v>
      </c>
      <c r="G198" s="255"/>
      <c r="I198" s="73"/>
      <c r="J198" s="73"/>
    </row>
    <row r="199" spans="1:10" x14ac:dyDescent="0.2">
      <c r="G199" s="255"/>
      <c r="I199" s="73"/>
      <c r="J199" s="73"/>
    </row>
    <row r="200" spans="1:10" x14ac:dyDescent="0.2">
      <c r="A200" s="9" t="s">
        <v>41</v>
      </c>
      <c r="B200" s="32"/>
      <c r="G200" s="255"/>
      <c r="I200" s="73"/>
      <c r="J200" s="73"/>
    </row>
    <row r="201" spans="1:10" x14ac:dyDescent="0.2">
      <c r="B201" s="32"/>
      <c r="G201" s="255"/>
      <c r="I201" s="73"/>
      <c r="J201" s="73"/>
    </row>
    <row r="202" spans="1:10" x14ac:dyDescent="0.2">
      <c r="A202" s="84" t="s">
        <v>257</v>
      </c>
      <c r="B202" s="92">
        <v>130</v>
      </c>
      <c r="G202" s="255"/>
      <c r="I202" s="73"/>
      <c r="J202" s="73"/>
    </row>
    <row r="203" spans="1:10" ht="13.5" thickBot="1" x14ac:dyDescent="0.25">
      <c r="B203" s="32"/>
      <c r="G203" s="255"/>
      <c r="I203" s="73"/>
      <c r="J203" s="73"/>
    </row>
    <row r="204" spans="1:10" ht="13.5" thickBot="1" x14ac:dyDescent="0.25">
      <c r="A204" s="51" t="s">
        <v>49</v>
      </c>
      <c r="B204" s="52" t="s">
        <v>50</v>
      </c>
      <c r="C204" s="52" t="s">
        <v>216</v>
      </c>
      <c r="D204" s="53" t="s">
        <v>199</v>
      </c>
      <c r="E204" s="53" t="s">
        <v>51</v>
      </c>
      <c r="F204" s="54" t="s">
        <v>52</v>
      </c>
      <c r="G204" s="255"/>
      <c r="I204" s="73"/>
      <c r="J204" s="73"/>
    </row>
    <row r="205" spans="1:10" x14ac:dyDescent="0.2">
      <c r="A205" s="13" t="s">
        <v>13</v>
      </c>
      <c r="B205" s="259" t="s">
        <v>258</v>
      </c>
      <c r="C205" s="249">
        <v>21</v>
      </c>
      <c r="D205" s="250">
        <v>4.1890000000000001</v>
      </c>
      <c r="E205" s="15"/>
      <c r="I205" s="73"/>
      <c r="J205" s="73"/>
    </row>
    <row r="206" spans="1:10" ht="11.25" customHeight="1" x14ac:dyDescent="0.2">
      <c r="A206" s="16" t="s">
        <v>14</v>
      </c>
      <c r="B206" s="252" t="s">
        <v>258</v>
      </c>
      <c r="C206" s="82">
        <v>130</v>
      </c>
      <c r="D206" s="343">
        <f>C205*D205</f>
        <v>87.968999999999994</v>
      </c>
      <c r="E206" s="18">
        <f>IFERROR(C206*D206,"-")</f>
        <v>11435.97</v>
      </c>
      <c r="I206" s="73"/>
      <c r="J206" s="73"/>
    </row>
    <row r="207" spans="1:10" x14ac:dyDescent="0.2">
      <c r="A207" s="16" t="s">
        <v>200</v>
      </c>
      <c r="B207" s="17"/>
      <c r="C207" s="239">
        <v>1.8</v>
      </c>
      <c r="D207" s="77">
        <v>11.2</v>
      </c>
      <c r="E207" s="18"/>
      <c r="I207" s="73"/>
      <c r="J207" s="73"/>
    </row>
    <row r="208" spans="1:10" x14ac:dyDescent="0.2">
      <c r="A208" s="16" t="s">
        <v>17</v>
      </c>
      <c r="B208" s="17"/>
      <c r="C208" s="82">
        <f>C206</f>
        <v>130</v>
      </c>
      <c r="D208" s="256">
        <f>C207*D207/1000</f>
        <v>2.0160000000000001E-2</v>
      </c>
      <c r="E208" s="18">
        <f>D208*C208</f>
        <v>2.6208</v>
      </c>
      <c r="I208" s="73"/>
      <c r="J208" s="73"/>
    </row>
    <row r="209" spans="1:10" x14ac:dyDescent="0.2">
      <c r="A209" s="237" t="s">
        <v>234</v>
      </c>
      <c r="B209" s="252" t="s">
        <v>260</v>
      </c>
      <c r="C209" s="239">
        <v>5</v>
      </c>
      <c r="D209" s="77">
        <v>14.6</v>
      </c>
      <c r="E209" s="18"/>
      <c r="I209" s="73"/>
      <c r="J209" s="73"/>
    </row>
    <row r="210" spans="1:10" x14ac:dyDescent="0.2">
      <c r="A210" s="237" t="s">
        <v>235</v>
      </c>
      <c r="B210" s="252" t="s">
        <v>258</v>
      </c>
      <c r="C210" s="251">
        <v>6500</v>
      </c>
      <c r="D210" s="253">
        <f>C209*D209/1000</f>
        <v>7.2999999999999995E-2</v>
      </c>
      <c r="E210" s="18">
        <f>D210*C210</f>
        <v>474.49999999999994</v>
      </c>
      <c r="I210" s="73"/>
      <c r="J210" s="73"/>
    </row>
    <row r="211" spans="1:10" ht="11.25" customHeight="1" x14ac:dyDescent="0.2">
      <c r="A211" s="237" t="s">
        <v>261</v>
      </c>
      <c r="B211" s="252" t="s">
        <v>260</v>
      </c>
      <c r="C211" s="239">
        <v>1.3</v>
      </c>
      <c r="D211" s="254">
        <v>12.7</v>
      </c>
      <c r="E211" s="18"/>
      <c r="I211" s="73"/>
      <c r="J211" s="73"/>
    </row>
    <row r="212" spans="1:10" x14ac:dyDescent="0.2">
      <c r="A212" s="16" t="s">
        <v>18</v>
      </c>
      <c r="B212" s="17" t="s">
        <v>15</v>
      </c>
      <c r="C212" s="82">
        <f>C206</f>
        <v>130</v>
      </c>
      <c r="D212" s="253">
        <v>2</v>
      </c>
      <c r="E212" s="18">
        <f>D212*C212</f>
        <v>260</v>
      </c>
      <c r="I212" s="73"/>
      <c r="J212" s="73"/>
    </row>
    <row r="213" spans="1:10" x14ac:dyDescent="0.2">
      <c r="A213" s="237" t="s">
        <v>236</v>
      </c>
      <c r="B213" s="17" t="s">
        <v>16</v>
      </c>
      <c r="C213" s="239">
        <v>2</v>
      </c>
      <c r="D213" s="254">
        <v>10.199999999999999</v>
      </c>
      <c r="E213" s="18"/>
      <c r="I213" s="73"/>
      <c r="J213" s="73"/>
    </row>
    <row r="214" spans="1:10" x14ac:dyDescent="0.2">
      <c r="A214" s="237" t="s">
        <v>237</v>
      </c>
      <c r="B214" s="17" t="s">
        <v>15</v>
      </c>
      <c r="C214" s="82">
        <f>C208</f>
        <v>130</v>
      </c>
      <c r="D214" s="253">
        <f>C213*D213/1000</f>
        <v>2.0399999999999998E-2</v>
      </c>
      <c r="E214" s="18">
        <f>D214*C214</f>
        <v>2.6519999999999997</v>
      </c>
      <c r="I214" s="73"/>
      <c r="J214" s="73"/>
    </row>
    <row r="215" spans="1:10" ht="13.5" thickBot="1" x14ac:dyDescent="0.25">
      <c r="A215" s="84" t="s">
        <v>215</v>
      </c>
      <c r="B215" s="85" t="s">
        <v>259</v>
      </c>
      <c r="C215" s="227"/>
      <c r="D215" s="228">
        <f>IFERROR(D206+D208+#REF!+D212+#REF!,0)</f>
        <v>0</v>
      </c>
      <c r="E215" s="18"/>
      <c r="I215" s="73"/>
      <c r="J215" s="73"/>
    </row>
    <row r="216" spans="1:10" ht="13.5" thickBot="1" x14ac:dyDescent="0.25">
      <c r="F216" s="21">
        <f>SUM(E205:E214)</f>
        <v>12175.7428</v>
      </c>
      <c r="I216" s="73"/>
      <c r="J216" s="73"/>
    </row>
    <row r="217" spans="1:10" ht="13.5" thickBot="1" x14ac:dyDescent="0.25">
      <c r="A217" s="9" t="s">
        <v>42</v>
      </c>
      <c r="I217" s="73"/>
      <c r="J217" s="73"/>
    </row>
    <row r="218" spans="1:10" ht="13.5" thickBot="1" x14ac:dyDescent="0.25">
      <c r="A218" s="51" t="s">
        <v>49</v>
      </c>
      <c r="B218" s="52" t="s">
        <v>50</v>
      </c>
      <c r="C218" s="52" t="s">
        <v>31</v>
      </c>
      <c r="D218" s="53" t="s">
        <v>199</v>
      </c>
      <c r="E218" s="53" t="s">
        <v>51</v>
      </c>
      <c r="F218" s="54" t="s">
        <v>52</v>
      </c>
      <c r="I218" s="73"/>
      <c r="J218" s="73"/>
    </row>
    <row r="219" spans="1:10" ht="11.25" customHeight="1" thickBot="1" x14ac:dyDescent="0.25">
      <c r="A219" s="238" t="s">
        <v>265</v>
      </c>
      <c r="B219" s="259" t="s">
        <v>266</v>
      </c>
      <c r="C219" s="82">
        <v>130</v>
      </c>
      <c r="D219" s="75">
        <v>42.95</v>
      </c>
      <c r="E219" s="15">
        <f>C219*D219</f>
        <v>5583.5</v>
      </c>
      <c r="I219" s="73"/>
      <c r="J219" s="73"/>
    </row>
    <row r="220" spans="1:10" ht="11.25" customHeight="1" thickBot="1" x14ac:dyDescent="0.25">
      <c r="F220" s="21">
        <f>E219</f>
        <v>5583.5</v>
      </c>
      <c r="G220" s="9"/>
    </row>
    <row r="221" spans="1:10" x14ac:dyDescent="0.2">
      <c r="G221" s="9"/>
    </row>
    <row r="222" spans="1:10" x14ac:dyDescent="0.2">
      <c r="A222" s="299" t="s">
        <v>281</v>
      </c>
      <c r="B222"/>
      <c r="C222" s="98"/>
      <c r="D222"/>
      <c r="E222"/>
      <c r="F222"/>
      <c r="G222" s="9"/>
    </row>
    <row r="223" spans="1:10" x14ac:dyDescent="0.2">
      <c r="A223"/>
      <c r="B223"/>
      <c r="C223" s="98"/>
      <c r="D223"/>
      <c r="E223"/>
      <c r="F223"/>
      <c r="G223" s="9"/>
    </row>
    <row r="224" spans="1:10" ht="13.5" thickBot="1" x14ac:dyDescent="0.25">
      <c r="A224" s="300" t="s">
        <v>282</v>
      </c>
      <c r="B224"/>
      <c r="C224" s="98"/>
      <c r="D224"/>
      <c r="E224"/>
      <c r="F224"/>
      <c r="G224" s="9"/>
    </row>
    <row r="225" spans="1:7" ht="13.5" thickBot="1" x14ac:dyDescent="0.25">
      <c r="A225" s="286" t="s">
        <v>49</v>
      </c>
      <c r="B225" s="287" t="s">
        <v>50</v>
      </c>
      <c r="C225" s="287" t="s">
        <v>31</v>
      </c>
      <c r="D225" s="288" t="s">
        <v>199</v>
      </c>
      <c r="E225" s="288" t="s">
        <v>51</v>
      </c>
      <c r="F225" s="289" t="s">
        <v>273</v>
      </c>
      <c r="G225" s="9"/>
    </row>
    <row r="226" spans="1:7" ht="11.25" customHeight="1" x14ac:dyDescent="0.2">
      <c r="A226" s="271" t="s">
        <v>283</v>
      </c>
      <c r="B226" s="272" t="s">
        <v>9</v>
      </c>
      <c r="C226" s="272">
        <v>1</v>
      </c>
      <c r="D226" s="301">
        <v>57331</v>
      </c>
      <c r="E226" s="273">
        <f>C226*D226</f>
        <v>57331</v>
      </c>
      <c r="F226"/>
      <c r="G226" s="9"/>
    </row>
    <row r="227" spans="1:7" x14ac:dyDescent="0.2">
      <c r="A227" s="265" t="s">
        <v>284</v>
      </c>
      <c r="B227" s="266" t="s">
        <v>80</v>
      </c>
      <c r="C227" s="280">
        <v>10</v>
      </c>
      <c r="D227" s="269"/>
      <c r="E227" s="269"/>
      <c r="F227"/>
      <c r="G227" s="9"/>
    </row>
    <row r="228" spans="1:7" ht="11.25" customHeight="1" x14ac:dyDescent="0.2">
      <c r="A228" s="265" t="s">
        <v>176</v>
      </c>
      <c r="B228" s="266" t="s">
        <v>80</v>
      </c>
      <c r="C228" s="280">
        <v>5</v>
      </c>
      <c r="D228" s="269"/>
      <c r="E228" s="269"/>
      <c r="F228" s="302"/>
      <c r="G228" s="9"/>
    </row>
    <row r="229" spans="1:7" x14ac:dyDescent="0.2">
      <c r="A229" s="265" t="s">
        <v>285</v>
      </c>
      <c r="B229" s="266" t="s">
        <v>2</v>
      </c>
      <c r="C229" s="303">
        <v>65.180000000000007</v>
      </c>
      <c r="D229" s="304">
        <f>E226</f>
        <v>57331</v>
      </c>
      <c r="E229" s="269">
        <f>C229*D229/100</f>
        <v>37368.345800000003</v>
      </c>
      <c r="F229"/>
    </row>
    <row r="230" spans="1:7" ht="11.25" customHeight="1" thickBot="1" x14ac:dyDescent="0.25">
      <c r="A230" s="305" t="s">
        <v>286</v>
      </c>
      <c r="B230" s="306" t="s">
        <v>7</v>
      </c>
      <c r="C230" s="306">
        <f>C227*12</f>
        <v>120</v>
      </c>
      <c r="D230" s="307">
        <f>IF(C228&lt;=C227,E229,0)</f>
        <v>37368.345800000003</v>
      </c>
      <c r="E230" s="308">
        <f>IFERROR(D230/C230,0)*0.1</f>
        <v>31.140288166666672</v>
      </c>
      <c r="F230"/>
    </row>
    <row r="231" spans="1:7" ht="14.25" thickTop="1" thickBot="1" x14ac:dyDescent="0.25">
      <c r="A231" s="305" t="s">
        <v>287</v>
      </c>
      <c r="B231" s="306" t="s">
        <v>7</v>
      </c>
      <c r="C231" s="306">
        <f>C227*12</f>
        <v>120</v>
      </c>
      <c r="D231" s="307">
        <f>IF(C228&lt;=C227,E229,0)</f>
        <v>37368.345800000003</v>
      </c>
      <c r="E231" s="308">
        <f>IFERROR(D231/C231,0)</f>
        <v>311.4028816666667</v>
      </c>
      <c r="F231"/>
    </row>
    <row r="232" spans="1:7" ht="13.5" thickTop="1" x14ac:dyDescent="0.2">
      <c r="A232" s="275" t="s">
        <v>217</v>
      </c>
      <c r="B232" s="276"/>
      <c r="C232" s="276"/>
      <c r="D232" s="277"/>
      <c r="E232" s="278">
        <f>E231+E230</f>
        <v>342.54316983333337</v>
      </c>
      <c r="F232"/>
    </row>
    <row r="233" spans="1:7" ht="13.5" thickBot="1" x14ac:dyDescent="0.25">
      <c r="A233" s="309" t="s">
        <v>218</v>
      </c>
      <c r="B233" s="310" t="s">
        <v>9</v>
      </c>
      <c r="C233" s="280">
        <v>1</v>
      </c>
      <c r="D233" s="311">
        <f>E232</f>
        <v>342.54316983333337</v>
      </c>
      <c r="E233" s="278">
        <f>C233*D233</f>
        <v>342.54316983333337</v>
      </c>
      <c r="F233"/>
    </row>
    <row r="234" spans="1:7" ht="13.5" thickBot="1" x14ac:dyDescent="0.25">
      <c r="A234" s="312"/>
      <c r="B234" s="312"/>
      <c r="C234" s="313"/>
      <c r="D234" s="281" t="s">
        <v>162</v>
      </c>
      <c r="E234" s="282">
        <v>1</v>
      </c>
      <c r="F234" s="314">
        <f>E233*E234</f>
        <v>342.54316983333337</v>
      </c>
    </row>
    <row r="235" spans="1:7" ht="13.5" thickBot="1" x14ac:dyDescent="0.25">
      <c r="A235" s="300" t="s">
        <v>288</v>
      </c>
      <c r="B235"/>
      <c r="C235" s="98"/>
      <c r="D235"/>
      <c r="E235"/>
      <c r="F235"/>
    </row>
    <row r="236" spans="1:7" s="46" customFormat="1" ht="11.25" customHeight="1" thickBot="1" x14ac:dyDescent="0.25">
      <c r="A236" s="315" t="s">
        <v>49</v>
      </c>
      <c r="B236" s="316" t="s">
        <v>50</v>
      </c>
      <c r="C236" s="316" t="s">
        <v>31</v>
      </c>
      <c r="D236" s="288" t="s">
        <v>199</v>
      </c>
      <c r="E236" s="317" t="s">
        <v>51</v>
      </c>
      <c r="F236" s="289" t="s">
        <v>273</v>
      </c>
      <c r="G236" s="72"/>
    </row>
    <row r="237" spans="1:7" x14ac:dyDescent="0.2">
      <c r="A237" s="265" t="s">
        <v>289</v>
      </c>
      <c r="B237" s="266" t="s">
        <v>9</v>
      </c>
      <c r="C237" s="272">
        <v>1</v>
      </c>
      <c r="D237" s="304">
        <f>D226</f>
        <v>57331</v>
      </c>
      <c r="E237" s="269">
        <f>C237*D237</f>
        <v>57331</v>
      </c>
      <c r="F237" s="302"/>
    </row>
    <row r="238" spans="1:7" ht="11.25" customHeight="1" x14ac:dyDescent="0.2">
      <c r="A238" s="265" t="s">
        <v>178</v>
      </c>
      <c r="B238" s="266" t="s">
        <v>2</v>
      </c>
      <c r="C238" s="280">
        <v>2</v>
      </c>
      <c r="D238" s="269"/>
      <c r="E238" s="269"/>
      <c r="F238" s="302"/>
    </row>
    <row r="239" spans="1:7" ht="17.25" customHeight="1" x14ac:dyDescent="0.2">
      <c r="A239" s="265" t="s">
        <v>177</v>
      </c>
      <c r="B239" s="266" t="s">
        <v>24</v>
      </c>
      <c r="C239" s="318">
        <v>50000</v>
      </c>
      <c r="D239" s="269"/>
      <c r="E239" s="269"/>
      <c r="F239" s="302"/>
    </row>
    <row r="240" spans="1:7" ht="11.25" customHeight="1" x14ac:dyDescent="0.2">
      <c r="A240" s="265" t="s">
        <v>290</v>
      </c>
      <c r="B240" s="266" t="s">
        <v>24</v>
      </c>
      <c r="C240" s="304">
        <f>IFERROR(IF(C228&gt;=C227,C239,((((C239)-(E226-E229))*(((C227-C228)+1)/(2*(C227-C228))))+(E226-E229))),0)</f>
        <v>37985.061679999999</v>
      </c>
      <c r="D240" s="269"/>
      <c r="E240" s="269"/>
      <c r="F240" s="302"/>
    </row>
    <row r="241" spans="1:6" ht="13.5" thickBot="1" x14ac:dyDescent="0.25">
      <c r="A241" s="319" t="s">
        <v>291</v>
      </c>
      <c r="B241" s="306" t="s">
        <v>24</v>
      </c>
      <c r="C241" s="306"/>
      <c r="D241" s="308">
        <f>(C238*C240/12/100)*0.1</f>
        <v>6.3308436133333341</v>
      </c>
      <c r="E241" s="308">
        <f>D241</f>
        <v>6.3308436133333341</v>
      </c>
      <c r="F241" s="302"/>
    </row>
    <row r="242" spans="1:6" ht="14.25" thickTop="1" thickBot="1" x14ac:dyDescent="0.25">
      <c r="A242" s="305" t="s">
        <v>292</v>
      </c>
      <c r="B242" s="306" t="s">
        <v>24</v>
      </c>
      <c r="C242" s="306"/>
      <c r="D242" s="308">
        <f>C238*C240/12/100</f>
        <v>63.308436133333338</v>
      </c>
      <c r="E242" s="308">
        <f>D242</f>
        <v>63.308436133333338</v>
      </c>
      <c r="F242" s="302"/>
    </row>
    <row r="243" spans="1:6" ht="13.5" thickTop="1" x14ac:dyDescent="0.2">
      <c r="A243" s="275" t="s">
        <v>217</v>
      </c>
      <c r="B243" s="276"/>
      <c r="C243" s="276"/>
      <c r="D243" s="277"/>
      <c r="E243" s="278">
        <f>E242+E241</f>
        <v>69.639279746666674</v>
      </c>
      <c r="F243" s="302"/>
    </row>
    <row r="244" spans="1:6" ht="13.5" thickBot="1" x14ac:dyDescent="0.25">
      <c r="A244" s="309" t="s">
        <v>218</v>
      </c>
      <c r="B244" s="310" t="s">
        <v>9</v>
      </c>
      <c r="C244" s="266">
        <f>C233</f>
        <v>1</v>
      </c>
      <c r="D244" s="311">
        <f>E243</f>
        <v>69.639279746666674</v>
      </c>
      <c r="E244" s="278">
        <f>C244*D244</f>
        <v>69.639279746666674</v>
      </c>
      <c r="F244" s="302"/>
    </row>
    <row r="245" spans="1:6" ht="13.5" thickBot="1" x14ac:dyDescent="0.25">
      <c r="A245"/>
      <c r="B245"/>
      <c r="C245" s="320"/>
      <c r="D245" s="281" t="s">
        <v>162</v>
      </c>
      <c r="E245" s="282">
        <v>1</v>
      </c>
      <c r="F245" s="314">
        <f>E244*E245</f>
        <v>69.639279746666674</v>
      </c>
    </row>
    <row r="246" spans="1:6" ht="13.5" thickBot="1" x14ac:dyDescent="0.25">
      <c r="A246" s="4" t="s">
        <v>293</v>
      </c>
      <c r="B246"/>
      <c r="C246" s="98"/>
      <c r="D246"/>
      <c r="E246"/>
      <c r="F246"/>
    </row>
    <row r="247" spans="1:6" ht="13.5" thickBot="1" x14ac:dyDescent="0.25">
      <c r="A247" s="286" t="s">
        <v>49</v>
      </c>
      <c r="B247" s="287" t="s">
        <v>50</v>
      </c>
      <c r="C247" s="287" t="s">
        <v>31</v>
      </c>
      <c r="D247" s="288" t="s">
        <v>199</v>
      </c>
      <c r="E247" s="288" t="s">
        <v>51</v>
      </c>
      <c r="F247" s="289" t="s">
        <v>273</v>
      </c>
    </row>
    <row r="248" spans="1:6" ht="11.25" customHeight="1" x14ac:dyDescent="0.2">
      <c r="A248" s="271" t="s">
        <v>11</v>
      </c>
      <c r="B248" s="272" t="s">
        <v>9</v>
      </c>
      <c r="C248" s="273">
        <v>1</v>
      </c>
      <c r="D248" s="273">
        <v>1500</v>
      </c>
      <c r="E248" s="273">
        <f>C248*D248</f>
        <v>1500</v>
      </c>
      <c r="F248"/>
    </row>
    <row r="249" spans="1:6" x14ac:dyDescent="0.2">
      <c r="A249" s="265" t="s">
        <v>161</v>
      </c>
      <c r="B249" s="266" t="s">
        <v>9</v>
      </c>
      <c r="C249" s="273">
        <v>1</v>
      </c>
      <c r="D249" s="292">
        <v>205</v>
      </c>
      <c r="E249" s="269">
        <f>C249*D249</f>
        <v>205</v>
      </c>
      <c r="F249"/>
    </row>
    <row r="250" spans="1:6" x14ac:dyDescent="0.2">
      <c r="A250" s="265" t="s">
        <v>294</v>
      </c>
      <c r="B250" s="266" t="s">
        <v>9</v>
      </c>
      <c r="C250" s="273">
        <v>1</v>
      </c>
      <c r="D250" s="292">
        <v>1500</v>
      </c>
      <c r="E250" s="269">
        <f>C250*D250</f>
        <v>1500</v>
      </c>
      <c r="F250" s="277"/>
    </row>
    <row r="251" spans="1:6" ht="13.5" thickBot="1" x14ac:dyDescent="0.25">
      <c r="A251" s="309" t="s">
        <v>12</v>
      </c>
      <c r="B251" s="310" t="s">
        <v>7</v>
      </c>
      <c r="C251" s="310">
        <v>12</v>
      </c>
      <c r="D251" s="311">
        <f>SUM(E248:E250)</f>
        <v>3205</v>
      </c>
      <c r="E251" s="311">
        <f>D251/C251</f>
        <v>267.08333333333331</v>
      </c>
      <c r="F251"/>
    </row>
    <row r="252" spans="1:6" ht="11.25" customHeight="1" thickBot="1" x14ac:dyDescent="0.25">
      <c r="A252"/>
      <c r="B252"/>
      <c r="C252" s="98"/>
      <c r="D252" s="281" t="s">
        <v>162</v>
      </c>
      <c r="E252" s="282">
        <v>1</v>
      </c>
      <c r="F252" s="283">
        <f>E251*E252</f>
        <v>267.08333333333331</v>
      </c>
    </row>
    <row r="253" spans="1:6" x14ac:dyDescent="0.2">
      <c r="A253" s="4" t="s">
        <v>295</v>
      </c>
      <c r="B253" s="321"/>
      <c r="C253" s="98"/>
      <c r="D253"/>
      <c r="E253"/>
      <c r="F253"/>
    </row>
    <row r="254" spans="1:6" ht="11.25" customHeight="1" x14ac:dyDescent="0.2">
      <c r="A254"/>
      <c r="B254" s="321"/>
      <c r="C254" s="98"/>
      <c r="D254"/>
      <c r="E254"/>
      <c r="F254"/>
    </row>
    <row r="255" spans="1:6" ht="24.75" customHeight="1" x14ac:dyDescent="0.2">
      <c r="A255" s="309" t="s">
        <v>296</v>
      </c>
      <c r="B255" s="322">
        <v>1500</v>
      </c>
      <c r="C255" s="98"/>
      <c r="D255"/>
      <c r="E255"/>
      <c r="F255"/>
    </row>
    <row r="256" spans="1:6" ht="12.6" customHeight="1" thickBot="1" x14ac:dyDescent="0.25">
      <c r="A256"/>
      <c r="B256" s="321"/>
      <c r="C256" s="98"/>
      <c r="D256"/>
      <c r="E256"/>
      <c r="F256"/>
    </row>
    <row r="257" spans="1:6" ht="12.6" customHeight="1" thickBot="1" x14ac:dyDescent="0.25">
      <c r="A257" s="286" t="s">
        <v>49</v>
      </c>
      <c r="B257" s="287" t="s">
        <v>50</v>
      </c>
      <c r="C257" s="287" t="s">
        <v>216</v>
      </c>
      <c r="D257" s="288" t="s">
        <v>199</v>
      </c>
      <c r="E257" s="288" t="s">
        <v>51</v>
      </c>
      <c r="F257" s="289" t="s">
        <v>273</v>
      </c>
    </row>
    <row r="258" spans="1:6" ht="12.6" customHeight="1" x14ac:dyDescent="0.2">
      <c r="A258" s="271" t="s">
        <v>297</v>
      </c>
      <c r="B258" s="272" t="s">
        <v>298</v>
      </c>
      <c r="C258" s="323">
        <v>10</v>
      </c>
      <c r="D258" s="324">
        <v>5.53</v>
      </c>
      <c r="E258" s="273"/>
      <c r="F258"/>
    </row>
    <row r="259" spans="1:6" ht="12.6" customHeight="1" x14ac:dyDescent="0.2">
      <c r="A259" s="265" t="s">
        <v>299</v>
      </c>
      <c r="B259" s="266" t="s">
        <v>15</v>
      </c>
      <c r="C259" s="291">
        <f>B255</f>
        <v>1500</v>
      </c>
      <c r="D259" s="325">
        <f>D258/C258</f>
        <v>0.55300000000000005</v>
      </c>
      <c r="E259" s="269">
        <f>IFERROR(C259*D259,"-")</f>
        <v>829.50000000000011</v>
      </c>
      <c r="F259"/>
    </row>
    <row r="260" spans="1:6" x14ac:dyDescent="0.2">
      <c r="A260" s="265" t="s">
        <v>200</v>
      </c>
      <c r="B260" s="266" t="s">
        <v>16</v>
      </c>
      <c r="C260" s="326">
        <v>1.8</v>
      </c>
      <c r="D260" s="292">
        <v>11.2</v>
      </c>
      <c r="E260" s="269"/>
      <c r="F260"/>
    </row>
    <row r="261" spans="1:6" x14ac:dyDescent="0.2">
      <c r="A261" s="265" t="s">
        <v>17</v>
      </c>
      <c r="B261" s="266" t="s">
        <v>15</v>
      </c>
      <c r="C261" s="291">
        <f>C259</f>
        <v>1500</v>
      </c>
      <c r="D261" s="327">
        <f>C260*D260/1000</f>
        <v>2.0160000000000001E-2</v>
      </c>
      <c r="E261" s="269">
        <f>D261*C261</f>
        <v>30.240000000000002</v>
      </c>
      <c r="F261"/>
    </row>
    <row r="262" spans="1:6" ht="13.5" thickBot="1" x14ac:dyDescent="0.25">
      <c r="A262" s="309" t="s">
        <v>215</v>
      </c>
      <c r="B262" s="310" t="s">
        <v>300</v>
      </c>
      <c r="C262" s="328"/>
      <c r="D262" s="329">
        <f>IFERROR(D259+D261+#REF!+#REF!+#REF!,0)</f>
        <v>0</v>
      </c>
      <c r="E262" s="269"/>
      <c r="F262"/>
    </row>
    <row r="263" spans="1:6" ht="13.5" thickBot="1" x14ac:dyDescent="0.25">
      <c r="A263"/>
      <c r="B263"/>
      <c r="C263" s="98"/>
      <c r="D263"/>
      <c r="E263"/>
      <c r="F263" s="314">
        <f>SUM(E258:E261)</f>
        <v>859.74000000000012</v>
      </c>
    </row>
    <row r="264" spans="1:6" x14ac:dyDescent="0.2">
      <c r="A264"/>
      <c r="B264"/>
      <c r="C264" s="98"/>
      <c r="D264"/>
      <c r="E264"/>
      <c r="F264"/>
    </row>
    <row r="265" spans="1:6" ht="13.5" thickBot="1" x14ac:dyDescent="0.25">
      <c r="A265" s="4" t="s">
        <v>301</v>
      </c>
      <c r="B265"/>
      <c r="C265" s="98"/>
      <c r="D265"/>
      <c r="E265"/>
      <c r="F265"/>
    </row>
    <row r="266" spans="1:6" ht="13.5" thickBot="1" x14ac:dyDescent="0.25">
      <c r="A266" s="286" t="s">
        <v>49</v>
      </c>
      <c r="B266" s="287" t="s">
        <v>50</v>
      </c>
      <c r="C266" s="287" t="s">
        <v>31</v>
      </c>
      <c r="D266" s="288" t="s">
        <v>199</v>
      </c>
      <c r="E266" s="288" t="s">
        <v>51</v>
      </c>
      <c r="F266" s="289" t="s">
        <v>273</v>
      </c>
    </row>
    <row r="267" spans="1:6" ht="13.5" thickBot="1" x14ac:dyDescent="0.25">
      <c r="A267" s="271" t="s">
        <v>302</v>
      </c>
      <c r="B267" s="272" t="s">
        <v>300</v>
      </c>
      <c r="C267" s="291">
        <f>C259</f>
        <v>1500</v>
      </c>
      <c r="D267" s="268">
        <v>0.15</v>
      </c>
      <c r="E267" s="273">
        <f>C267*D267</f>
        <v>225</v>
      </c>
      <c r="F267"/>
    </row>
    <row r="268" spans="1:6" ht="13.5" thickBot="1" x14ac:dyDescent="0.25">
      <c r="A268"/>
      <c r="B268"/>
      <c r="C268" s="98"/>
      <c r="D268"/>
      <c r="E268"/>
      <c r="F268" s="314">
        <f>E267</f>
        <v>225</v>
      </c>
    </row>
    <row r="269" spans="1:6" ht="13.5" thickBot="1" x14ac:dyDescent="0.25">
      <c r="A269" s="4" t="s">
        <v>303</v>
      </c>
      <c r="B269"/>
      <c r="C269" s="98"/>
      <c r="D269"/>
      <c r="E269"/>
      <c r="F269"/>
    </row>
    <row r="270" spans="1:6" ht="13.5" thickBot="1" x14ac:dyDescent="0.25">
      <c r="A270" s="286" t="s">
        <v>49</v>
      </c>
      <c r="B270" s="287" t="s">
        <v>50</v>
      </c>
      <c r="C270" s="287" t="s">
        <v>31</v>
      </c>
      <c r="D270" s="288" t="s">
        <v>199</v>
      </c>
      <c r="E270" s="288" t="s">
        <v>51</v>
      </c>
      <c r="F270" s="289" t="s">
        <v>273</v>
      </c>
    </row>
    <row r="271" spans="1:6" x14ac:dyDescent="0.2">
      <c r="A271" s="271" t="s">
        <v>304</v>
      </c>
      <c r="B271" s="272" t="s">
        <v>9</v>
      </c>
      <c r="C271" s="330">
        <v>4</v>
      </c>
      <c r="D271" s="268">
        <v>258</v>
      </c>
      <c r="E271" s="273">
        <f>C271*D271</f>
        <v>1032</v>
      </c>
      <c r="F271"/>
    </row>
    <row r="272" spans="1:6" ht="13.5" thickBot="1" x14ac:dyDescent="0.25">
      <c r="A272" s="265" t="s">
        <v>305</v>
      </c>
      <c r="B272" s="266" t="s">
        <v>15</v>
      </c>
      <c r="C272" s="291">
        <f>B255</f>
        <v>1500</v>
      </c>
      <c r="D272" s="269">
        <f>E271/(C272*12)</f>
        <v>5.7333333333333333E-2</v>
      </c>
      <c r="E272" s="269">
        <f>IFERROR(C272*D272,0)</f>
        <v>86</v>
      </c>
      <c r="F272"/>
    </row>
    <row r="273" spans="1:7" ht="13.5" thickBot="1" x14ac:dyDescent="0.25">
      <c r="A273"/>
      <c r="B273"/>
      <c r="C273" s="98"/>
      <c r="D273"/>
      <c r="E273"/>
      <c r="F273" s="314">
        <f>E272</f>
        <v>86</v>
      </c>
    </row>
    <row r="274" spans="1:7" ht="13.5" thickBot="1" x14ac:dyDescent="0.25">
      <c r="A274" s="331"/>
      <c r="B274" s="331"/>
      <c r="C274" s="332"/>
      <c r="D274" s="333"/>
      <c r="E274" s="334"/>
      <c r="F274" s="335"/>
    </row>
    <row r="275" spans="1:7" ht="13.5" thickBot="1" x14ac:dyDescent="0.25">
      <c r="A275" s="336" t="s">
        <v>307</v>
      </c>
      <c r="B275" s="337"/>
      <c r="C275" s="338"/>
      <c r="D275" s="339"/>
      <c r="E275" s="340"/>
      <c r="F275" s="314">
        <f>F182+F191+F216+F220+0</f>
        <v>21266.220577777778</v>
      </c>
    </row>
    <row r="276" spans="1:7" ht="13.5" thickBot="1" x14ac:dyDescent="0.25">
      <c r="A276" s="331"/>
      <c r="B276" s="331"/>
      <c r="C276" s="332"/>
      <c r="D276" s="333"/>
      <c r="E276" s="334"/>
      <c r="F276" s="335"/>
    </row>
    <row r="277" spans="1:7" ht="13.5" thickBot="1" x14ac:dyDescent="0.25">
      <c r="A277" s="336" t="s">
        <v>306</v>
      </c>
      <c r="B277" s="337"/>
      <c r="C277" s="338"/>
      <c r="D277" s="339"/>
      <c r="E277" s="340"/>
      <c r="F277" s="314">
        <f>F234+F245+F252+F263+F268+F273</f>
        <v>1850.0057829133334</v>
      </c>
    </row>
    <row r="278" spans="1:7" ht="13.5" thickBot="1" x14ac:dyDescent="0.25"/>
    <row r="279" spans="1:7" ht="13.5" thickBot="1" x14ac:dyDescent="0.25">
      <c r="A279" s="24" t="s">
        <v>187</v>
      </c>
      <c r="B279" s="25"/>
      <c r="C279" s="25"/>
      <c r="D279" s="26"/>
      <c r="E279" s="27"/>
      <c r="F279" s="21">
        <f>F220+F216+F198+F191+F182+F234+F245+F252+F263+F268+F273</f>
        <v>23824.559694024443</v>
      </c>
    </row>
    <row r="281" spans="1:7" x14ac:dyDescent="0.2">
      <c r="A281" s="11" t="s">
        <v>57</v>
      </c>
      <c r="B281" s="11"/>
      <c r="C281" s="11"/>
      <c r="D281" s="23"/>
      <c r="E281" s="23"/>
      <c r="F281" s="31"/>
    </row>
    <row r="282" spans="1:7" ht="9" customHeight="1" thickBot="1" x14ac:dyDescent="0.25">
      <c r="G282" s="9"/>
    </row>
    <row r="283" spans="1:7" ht="13.5" thickBot="1" x14ac:dyDescent="0.25">
      <c r="A283" s="51" t="s">
        <v>49</v>
      </c>
      <c r="B283" s="52" t="s">
        <v>50</v>
      </c>
      <c r="C283" s="52" t="s">
        <v>31</v>
      </c>
      <c r="D283" s="53" t="s">
        <v>199</v>
      </c>
      <c r="E283" s="53" t="s">
        <v>51</v>
      </c>
      <c r="F283" s="54" t="s">
        <v>52</v>
      </c>
    </row>
    <row r="284" spans="1:7" x14ac:dyDescent="0.2">
      <c r="A284" s="265" t="s">
        <v>55</v>
      </c>
      <c r="B284" s="266" t="s">
        <v>9</v>
      </c>
      <c r="C284" s="267">
        <v>0.16666666666666699</v>
      </c>
      <c r="D284" s="268">
        <v>37</v>
      </c>
      <c r="E284" s="269">
        <f t="shared" ref="E284:E290" si="4">C284*D284</f>
        <v>6.1666666666666785</v>
      </c>
      <c r="F284" s="20"/>
    </row>
    <row r="285" spans="1:7" x14ac:dyDescent="0.2">
      <c r="A285" s="265" t="s">
        <v>19</v>
      </c>
      <c r="B285" s="266" t="s">
        <v>9</v>
      </c>
      <c r="C285" s="267">
        <v>0.16666666666666699</v>
      </c>
      <c r="D285" s="268">
        <v>47</v>
      </c>
      <c r="E285" s="269">
        <f t="shared" si="4"/>
        <v>7.8333333333333481</v>
      </c>
      <c r="F285" s="20"/>
    </row>
    <row r="286" spans="1:7" x14ac:dyDescent="0.2">
      <c r="A286" s="265" t="s">
        <v>241</v>
      </c>
      <c r="B286" s="266" t="s">
        <v>9</v>
      </c>
      <c r="C286" s="267">
        <v>0.33333333333333298</v>
      </c>
      <c r="D286" s="268">
        <v>28.9</v>
      </c>
      <c r="E286" s="269">
        <f t="shared" si="4"/>
        <v>9.6333333333333222</v>
      </c>
      <c r="F286" s="20"/>
    </row>
    <row r="287" spans="1:7" x14ac:dyDescent="0.2">
      <c r="A287" s="265" t="s">
        <v>44</v>
      </c>
      <c r="B287" s="266" t="s">
        <v>45</v>
      </c>
      <c r="C287" s="267">
        <v>8.3333333333333301E-2</v>
      </c>
      <c r="D287" s="268">
        <v>1200</v>
      </c>
      <c r="E287" s="269">
        <f t="shared" si="4"/>
        <v>99.999999999999957</v>
      </c>
      <c r="F287" s="20"/>
    </row>
    <row r="288" spans="1:7" x14ac:dyDescent="0.2">
      <c r="A288" s="265" t="s">
        <v>238</v>
      </c>
      <c r="B288" s="266" t="s">
        <v>239</v>
      </c>
      <c r="C288" s="267">
        <v>0.16666666666666699</v>
      </c>
      <c r="D288" s="268">
        <v>1500</v>
      </c>
      <c r="E288" s="269">
        <f t="shared" si="4"/>
        <v>250.00000000000048</v>
      </c>
      <c r="F288" s="20"/>
    </row>
    <row r="289" spans="1:6" x14ac:dyDescent="0.2">
      <c r="A289" s="237" t="s">
        <v>269</v>
      </c>
      <c r="B289" s="266" t="s">
        <v>239</v>
      </c>
      <c r="C289" s="270">
        <v>1</v>
      </c>
      <c r="D289" s="268">
        <v>3000</v>
      </c>
      <c r="E289" s="269">
        <f t="shared" si="4"/>
        <v>3000</v>
      </c>
      <c r="F289" s="20"/>
    </row>
    <row r="290" spans="1:6" x14ac:dyDescent="0.2">
      <c r="A290" s="237" t="s">
        <v>270</v>
      </c>
      <c r="B290" s="266" t="s">
        <v>239</v>
      </c>
      <c r="C290" s="270">
        <v>1</v>
      </c>
      <c r="D290" s="268">
        <v>1500</v>
      </c>
      <c r="E290" s="269">
        <f t="shared" si="4"/>
        <v>1500</v>
      </c>
      <c r="F290" s="20"/>
    </row>
    <row r="291" spans="1:6" ht="13.5" thickBot="1" x14ac:dyDescent="0.25">
      <c r="A291" s="265" t="s">
        <v>268</v>
      </c>
      <c r="B291" s="266" t="s">
        <v>7</v>
      </c>
      <c r="C291" s="270">
        <v>1</v>
      </c>
      <c r="D291" s="268">
        <v>150</v>
      </c>
      <c r="E291" s="269">
        <f>SUM(D291*C291)</f>
        <v>150</v>
      </c>
      <c r="F291" s="20"/>
    </row>
    <row r="292" spans="1:6" ht="13.5" thickBot="1" x14ac:dyDescent="0.25">
      <c r="A292" s="265" t="s">
        <v>240</v>
      </c>
      <c r="B292" s="266" t="s">
        <v>45</v>
      </c>
      <c r="C292" s="267">
        <v>8.3333333333333301E-2</v>
      </c>
      <c r="D292" s="268">
        <v>26</v>
      </c>
      <c r="E292" s="269">
        <f>C292*D292</f>
        <v>2.1666666666666656</v>
      </c>
      <c r="F292" s="21">
        <f>SUM(E284:E291)</f>
        <v>5023.6333333333332</v>
      </c>
    </row>
    <row r="293" spans="1:6" ht="13.5" thickBot="1" x14ac:dyDescent="0.25"/>
    <row r="294" spans="1:6" ht="13.5" thickBot="1" x14ac:dyDescent="0.25">
      <c r="A294" s="24" t="s">
        <v>188</v>
      </c>
      <c r="B294" s="25"/>
      <c r="C294" s="25"/>
      <c r="D294" s="26"/>
      <c r="E294" s="27"/>
      <c r="F294" s="21">
        <f>+F292</f>
        <v>5023.6333333333332</v>
      </c>
    </row>
    <row r="296" spans="1:6" x14ac:dyDescent="0.2">
      <c r="A296" s="11" t="s">
        <v>58</v>
      </c>
      <c r="B296" s="11"/>
      <c r="C296" s="11"/>
      <c r="D296" s="23"/>
      <c r="E296" s="23"/>
      <c r="F296" s="31"/>
    </row>
    <row r="297" spans="1:6" ht="13.5" thickBot="1" x14ac:dyDescent="0.25"/>
    <row r="298" spans="1:6" ht="13.5" thickBot="1" x14ac:dyDescent="0.25">
      <c r="A298" s="51" t="s">
        <v>49</v>
      </c>
      <c r="B298" s="52" t="s">
        <v>50</v>
      </c>
      <c r="C298" s="52" t="s">
        <v>31</v>
      </c>
      <c r="D298" s="53" t="s">
        <v>199</v>
      </c>
      <c r="E298" s="53" t="s">
        <v>51</v>
      </c>
      <c r="F298" s="54" t="s">
        <v>52</v>
      </c>
    </row>
    <row r="299" spans="1:6" x14ac:dyDescent="0.2">
      <c r="A299" s="16" t="s">
        <v>185</v>
      </c>
      <c r="B299" s="47" t="s">
        <v>45</v>
      </c>
      <c r="C299" s="60">
        <v>1</v>
      </c>
      <c r="D299" s="77">
        <v>110</v>
      </c>
      <c r="E299" s="18">
        <f>+D299*C299</f>
        <v>110</v>
      </c>
      <c r="F299" s="20"/>
    </row>
    <row r="300" spans="1:6" x14ac:dyDescent="0.2">
      <c r="A300" s="16" t="s">
        <v>47</v>
      </c>
      <c r="B300" s="47" t="s">
        <v>7</v>
      </c>
      <c r="C300" s="17">
        <v>60</v>
      </c>
      <c r="D300" s="71">
        <v>110</v>
      </c>
      <c r="E300" s="71">
        <f>D300/C300</f>
        <v>1.8333333333333333</v>
      </c>
      <c r="F300" s="20"/>
    </row>
    <row r="301" spans="1:6" x14ac:dyDescent="0.2">
      <c r="A301" s="16" t="s">
        <v>186</v>
      </c>
      <c r="B301" s="17" t="s">
        <v>9</v>
      </c>
      <c r="C301" s="60">
        <f>+C299</f>
        <v>1</v>
      </c>
      <c r="D301" s="77">
        <v>90</v>
      </c>
      <c r="E301" s="18">
        <f>C301*D301</f>
        <v>90</v>
      </c>
      <c r="F301" s="20"/>
    </row>
    <row r="302" spans="1:6" ht="13.5" thickBot="1" x14ac:dyDescent="0.25">
      <c r="A302" s="16" t="s">
        <v>28</v>
      </c>
      <c r="B302" s="47" t="s">
        <v>7</v>
      </c>
      <c r="C302" s="17">
        <v>1</v>
      </c>
      <c r="D302" s="71">
        <f>+E301</f>
        <v>90</v>
      </c>
      <c r="E302" s="71">
        <f>D302/C302</f>
        <v>90</v>
      </c>
      <c r="F302" s="20"/>
    </row>
    <row r="303" spans="1:6" ht="13.5" thickBot="1" x14ac:dyDescent="0.25">
      <c r="A303" s="12"/>
      <c r="B303" s="12"/>
      <c r="C303" s="12"/>
      <c r="D303" s="99" t="s">
        <v>162</v>
      </c>
      <c r="E303" s="45">
        <v>2</v>
      </c>
      <c r="F303" s="21">
        <f>(E300+E302)*E303</f>
        <v>183.66666666666666</v>
      </c>
    </row>
    <row r="304" spans="1:6" ht="13.5" thickBot="1" x14ac:dyDescent="0.25">
      <c r="E304" s="341" t="s">
        <v>310</v>
      </c>
    </row>
    <row r="305" spans="1:6" ht="13.5" thickBot="1" x14ac:dyDescent="0.25">
      <c r="A305" s="24" t="s">
        <v>184</v>
      </c>
      <c r="B305" s="25"/>
      <c r="C305" s="25"/>
      <c r="D305" s="26"/>
      <c r="E305" s="27"/>
      <c r="F305" s="21">
        <f>+F303</f>
        <v>183.66666666666666</v>
      </c>
    </row>
    <row r="306" spans="1:6" ht="13.5" thickBot="1" x14ac:dyDescent="0.25"/>
    <row r="307" spans="1:6" ht="13.5" thickBot="1" x14ac:dyDescent="0.25">
      <c r="A307" s="24" t="s">
        <v>189</v>
      </c>
      <c r="B307" s="28"/>
      <c r="C307" s="28"/>
      <c r="D307" s="29"/>
      <c r="E307" s="30"/>
      <c r="F307" s="22">
        <f>+F134+F167+F279+F294+F305</f>
        <v>47724.323218984879</v>
      </c>
    </row>
    <row r="309" spans="1:6" ht="13.5" thickBot="1" x14ac:dyDescent="0.25">
      <c r="A309" s="7" t="s">
        <v>233</v>
      </c>
    </row>
    <row r="310" spans="1:6" ht="13.5" thickBot="1" x14ac:dyDescent="0.25">
      <c r="A310" s="51" t="s">
        <v>49</v>
      </c>
      <c r="B310" s="52" t="s">
        <v>50</v>
      </c>
      <c r="C310" s="52" t="s">
        <v>31</v>
      </c>
      <c r="D310" s="53" t="s">
        <v>199</v>
      </c>
      <c r="E310" s="53" t="s">
        <v>51</v>
      </c>
      <c r="F310" s="245" t="s">
        <v>52</v>
      </c>
    </row>
    <row r="311" spans="1:6" ht="13.5" thickBot="1" x14ac:dyDescent="0.25">
      <c r="A311" s="7" t="s">
        <v>230</v>
      </c>
      <c r="B311" s="7" t="s">
        <v>231</v>
      </c>
      <c r="C311" s="9">
        <v>0</v>
      </c>
      <c r="D311" s="10">
        <v>0</v>
      </c>
      <c r="E311" s="10">
        <v>0</v>
      </c>
    </row>
    <row r="312" spans="1:6" ht="13.5" thickBot="1" x14ac:dyDescent="0.25">
      <c r="F312" s="246">
        <v>0</v>
      </c>
    </row>
    <row r="313" spans="1:6" ht="13.5" thickBot="1" x14ac:dyDescent="0.25"/>
    <row r="314" spans="1:6" ht="13.5" thickBot="1" x14ac:dyDescent="0.25">
      <c r="A314" s="24" t="s">
        <v>189</v>
      </c>
      <c r="B314" s="28"/>
      <c r="C314" s="28"/>
      <c r="D314" s="29"/>
      <c r="E314" s="30"/>
      <c r="F314" s="247">
        <f>F134+F167+F279+F294+F305+F312</f>
        <v>47724.323218984879</v>
      </c>
    </row>
    <row r="316" spans="1:6" x14ac:dyDescent="0.2">
      <c r="A316" s="11" t="s">
        <v>232</v>
      </c>
    </row>
    <row r="317" spans="1:6" ht="13.5" thickBot="1" x14ac:dyDescent="0.25"/>
    <row r="318" spans="1:6" ht="13.5" thickBot="1" x14ac:dyDescent="0.25">
      <c r="A318" s="51" t="s">
        <v>49</v>
      </c>
      <c r="B318" s="52" t="s">
        <v>50</v>
      </c>
      <c r="C318" s="52" t="s">
        <v>31</v>
      </c>
      <c r="D318" s="53" t="s">
        <v>199</v>
      </c>
      <c r="E318" s="53" t="s">
        <v>51</v>
      </c>
      <c r="F318" s="54" t="s">
        <v>52</v>
      </c>
    </row>
    <row r="319" spans="1:6" ht="13.5" thickBot="1" x14ac:dyDescent="0.25">
      <c r="A319" s="13" t="s">
        <v>27</v>
      </c>
      <c r="B319" s="14" t="s">
        <v>2</v>
      </c>
      <c r="C319" s="263">
        <f>'4.BDI'!C18</f>
        <v>0.2712</v>
      </c>
      <c r="D319" s="15">
        <f>F314</f>
        <v>47724.323218984879</v>
      </c>
      <c r="E319" s="15">
        <f>C319*D319</f>
        <v>12942.836456988698</v>
      </c>
    </row>
    <row r="320" spans="1:6" ht="13.5" thickBot="1" x14ac:dyDescent="0.25">
      <c r="F320" s="21">
        <f>+E319</f>
        <v>12942.836456988698</v>
      </c>
    </row>
    <row r="321" spans="1:6" ht="13.5" thickBot="1" x14ac:dyDescent="0.25"/>
    <row r="322" spans="1:6" ht="13.5" thickBot="1" x14ac:dyDescent="0.25">
      <c r="A322" s="24" t="s">
        <v>201</v>
      </c>
      <c r="B322" s="28"/>
      <c r="C322" s="28"/>
      <c r="D322" s="29"/>
      <c r="E322" s="30"/>
      <c r="F322" s="22">
        <f>F320</f>
        <v>12942.836456988698</v>
      </c>
    </row>
    <row r="323" spans="1:6" x14ac:dyDescent="0.2">
      <c r="A323" s="11"/>
      <c r="B323" s="11"/>
      <c r="C323" s="11"/>
      <c r="D323" s="23"/>
      <c r="E323" s="23"/>
      <c r="F323" s="31"/>
    </row>
    <row r="324" spans="1:6" ht="13.5" thickBot="1" x14ac:dyDescent="0.25"/>
    <row r="325" spans="1:6" ht="13.5" thickBot="1" x14ac:dyDescent="0.25">
      <c r="A325" s="24" t="s">
        <v>190</v>
      </c>
      <c r="B325" s="28"/>
      <c r="C325" s="28"/>
      <c r="D325" s="29"/>
      <c r="E325" s="30"/>
      <c r="F325" s="22">
        <f>F322+F314</f>
        <v>60667.159675973577</v>
      </c>
    </row>
    <row r="326" spans="1:6" x14ac:dyDescent="0.2">
      <c r="A326" s="11"/>
      <c r="F326" s="23"/>
    </row>
    <row r="327" spans="1:6" x14ac:dyDescent="0.2">
      <c r="A327" s="264" t="s">
        <v>267</v>
      </c>
      <c r="B327" s="240">
        <f>1049</f>
        <v>1049</v>
      </c>
      <c r="E327" s="242"/>
      <c r="F327" s="23"/>
    </row>
    <row r="328" spans="1:6" x14ac:dyDescent="0.2">
      <c r="A328" s="11"/>
      <c r="B328" s="261"/>
      <c r="F328" s="23"/>
    </row>
    <row r="329" spans="1:6" ht="15.75" x14ac:dyDescent="0.2">
      <c r="A329" s="48" t="s">
        <v>262</v>
      </c>
      <c r="B329" s="260">
        <f>F325/B327</f>
        <v>57.833326669183585</v>
      </c>
      <c r="C329" s="48"/>
      <c r="D329" s="262"/>
      <c r="E329" s="49"/>
      <c r="F329" s="49"/>
    </row>
    <row r="350" spans="4:6" x14ac:dyDescent="0.2">
      <c r="D350" s="9"/>
      <c r="E350" s="9"/>
      <c r="F350" s="9"/>
    </row>
  </sheetData>
  <mergeCells count="8">
    <mergeCell ref="A4:F17"/>
    <mergeCell ref="A56:D56"/>
    <mergeCell ref="A31:C31"/>
    <mergeCell ref="A18:F18"/>
    <mergeCell ref="A19:F19"/>
    <mergeCell ref="A49:D49"/>
    <mergeCell ref="A21:F21"/>
    <mergeCell ref="A48:E48"/>
  </mergeCells>
  <phoneticPr fontId="9" type="noConversion"/>
  <hyperlinks>
    <hyperlink ref="A183" location="AbaRemun" display="3.1.2. Remuneração do Capital" xr:uid="{00000000-0004-0000-0000-000000000000}"/>
    <hyperlink ref="A173" location="AbaDeprec" display="3.1.1. Depreciação" xr:uid="{00000000-0004-0000-0000-000001000000}"/>
    <hyperlink ref="A224" location="AbaDeprec" display="3.2.1. Depreciação" xr:uid="{62D98F12-E3A2-4C9D-A5A3-8217A0788869}"/>
    <hyperlink ref="A235" location="AbaRemun" display="3.2.2. Remuneração do Capital" xr:uid="{34199DFA-25CF-4ED5-9576-068EE17B9B98}"/>
  </hyperlinks>
  <pageMargins left="0.9055118110236221" right="0.51181102362204722" top="0.74803149606299213" bottom="0.74803149606299213" header="0.31496062992125984" footer="0.31496062992125984"/>
  <pageSetup paperSize="9" scale="70" fitToHeight="0" orientation="portrait" r:id="rId1"/>
  <headerFooter alignWithMargins="0">
    <oddHeader>&amp;F</oddHeader>
    <oddFooter>Página &amp;P&amp;R&amp;Z&amp;F</oddFooter>
  </headerFooter>
  <rowBreaks count="2" manualBreakCount="2">
    <brk id="71" max="5" man="1"/>
    <brk id="133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6"/>
  <sheetViews>
    <sheetView topLeftCell="A13" zoomScaleNormal="100" workbookViewId="0">
      <selection activeCell="D8" sqref="D8"/>
    </sheetView>
  </sheetViews>
  <sheetFormatPr defaultRowHeight="12.75" x14ac:dyDescent="0.2"/>
  <cols>
    <col min="1" max="1" width="13.5703125" style="1" customWidth="1"/>
    <col min="2" max="2" width="36.7109375" style="1" bestFit="1" customWidth="1"/>
    <col min="3" max="3" width="14.5703125" style="1" customWidth="1"/>
    <col min="4" max="4" width="37.28515625" style="1" customWidth="1"/>
    <col min="5" max="10" width="9.140625" style="1"/>
    <col min="11" max="11" width="11" style="1" bestFit="1" customWidth="1"/>
    <col min="12" max="16384" width="9.140625" style="1"/>
  </cols>
  <sheetData>
    <row r="1" spans="1:6" x14ac:dyDescent="0.2">
      <c r="A1" s="11" t="s">
        <v>167</v>
      </c>
    </row>
    <row r="2" spans="1:6" x14ac:dyDescent="0.2">
      <c r="A2" s="113" t="s">
        <v>208</v>
      </c>
    </row>
    <row r="3" spans="1:6" ht="13.5" thickBot="1" x14ac:dyDescent="0.25"/>
    <row r="4" spans="1:6" ht="18" x14ac:dyDescent="0.2">
      <c r="A4" s="362" t="s">
        <v>193</v>
      </c>
      <c r="B4" s="363"/>
      <c r="C4" s="364"/>
      <c r="D4" s="120"/>
      <c r="E4" s="120"/>
      <c r="F4" s="120"/>
    </row>
    <row r="5" spans="1:6" ht="14.25" x14ac:dyDescent="0.2">
      <c r="A5" s="137" t="s">
        <v>106</v>
      </c>
      <c r="B5" s="138" t="s">
        <v>107</v>
      </c>
      <c r="C5" s="139" t="s">
        <v>108</v>
      </c>
      <c r="D5" s="140"/>
    </row>
    <row r="6" spans="1:6" ht="14.25" x14ac:dyDescent="0.2">
      <c r="A6" s="137" t="s">
        <v>109</v>
      </c>
      <c r="B6" s="138" t="s">
        <v>32</v>
      </c>
      <c r="C6" s="141">
        <v>0.2</v>
      </c>
      <c r="D6" s="140"/>
    </row>
    <row r="7" spans="1:6" ht="14.25" x14ac:dyDescent="0.2">
      <c r="A7" s="137" t="s">
        <v>110</v>
      </c>
      <c r="B7" s="138" t="s">
        <v>111</v>
      </c>
      <c r="C7" s="141">
        <v>1.4999999999999999E-2</v>
      </c>
      <c r="D7" s="140"/>
    </row>
    <row r="8" spans="1:6" ht="14.25" x14ac:dyDescent="0.2">
      <c r="A8" s="137" t="s">
        <v>112</v>
      </c>
      <c r="B8" s="138" t="s">
        <v>113</v>
      </c>
      <c r="C8" s="141">
        <v>0.01</v>
      </c>
      <c r="D8" s="140"/>
    </row>
    <row r="9" spans="1:6" ht="14.25" x14ac:dyDescent="0.2">
      <c r="A9" s="137" t="s">
        <v>114</v>
      </c>
      <c r="B9" s="138" t="s">
        <v>115</v>
      </c>
      <c r="C9" s="141">
        <v>2E-3</v>
      </c>
      <c r="D9" s="140"/>
    </row>
    <row r="10" spans="1:6" ht="14.25" x14ac:dyDescent="0.2">
      <c r="A10" s="137" t="s">
        <v>116</v>
      </c>
      <c r="B10" s="138" t="s">
        <v>117</v>
      </c>
      <c r="C10" s="141">
        <v>6.0000000000000001E-3</v>
      </c>
      <c r="D10" s="140"/>
    </row>
    <row r="11" spans="1:6" ht="14.25" x14ac:dyDescent="0.2">
      <c r="A11" s="137" t="s">
        <v>118</v>
      </c>
      <c r="B11" s="138" t="s">
        <v>119</v>
      </c>
      <c r="C11" s="141">
        <v>2.5000000000000001E-2</v>
      </c>
      <c r="D11" s="140"/>
    </row>
    <row r="12" spans="1:6" ht="14.25" x14ac:dyDescent="0.2">
      <c r="A12" s="137" t="s">
        <v>120</v>
      </c>
      <c r="B12" s="138" t="s">
        <v>121</v>
      </c>
      <c r="C12" s="141">
        <v>0.03</v>
      </c>
      <c r="D12" s="140"/>
    </row>
    <row r="13" spans="1:6" ht="14.25" x14ac:dyDescent="0.2">
      <c r="A13" s="137" t="s">
        <v>122</v>
      </c>
      <c r="B13" s="138" t="s">
        <v>33</v>
      </c>
      <c r="C13" s="141">
        <v>0.08</v>
      </c>
      <c r="D13" s="140"/>
    </row>
    <row r="14" spans="1:6" ht="15" x14ac:dyDescent="0.2">
      <c r="A14" s="137" t="s">
        <v>123</v>
      </c>
      <c r="B14" s="142" t="s">
        <v>124</v>
      </c>
      <c r="C14" s="143">
        <f>SUM(C6:C13)</f>
        <v>0.36800000000000005</v>
      </c>
      <c r="D14" s="140"/>
    </row>
    <row r="15" spans="1:6" ht="15" x14ac:dyDescent="0.2">
      <c r="A15" s="144"/>
      <c r="B15" s="145"/>
      <c r="C15" s="146"/>
      <c r="D15" s="140"/>
    </row>
    <row r="16" spans="1:6" ht="14.25" x14ac:dyDescent="0.2">
      <c r="A16" s="137" t="s">
        <v>125</v>
      </c>
      <c r="B16" s="147" t="s">
        <v>126</v>
      </c>
      <c r="C16" s="141">
        <f>ROUND(IF('3.CAGED'!C39&gt;24,(1-12/'3.CAGED'!C39)*0.1111,0.1111-C25),4)</f>
        <v>6.1499999999999999E-2</v>
      </c>
      <c r="D16" s="140"/>
    </row>
    <row r="17" spans="1:8" ht="14.25" x14ac:dyDescent="0.2">
      <c r="A17" s="137" t="s">
        <v>127</v>
      </c>
      <c r="B17" s="147" t="s">
        <v>128</v>
      </c>
      <c r="C17" s="141">
        <f>ROUND('3.CAGED'!C33/'3.CAGED'!C30,4)</f>
        <v>8.3299999999999999E-2</v>
      </c>
      <c r="D17" s="140"/>
    </row>
    <row r="18" spans="1:8" ht="14.25" x14ac:dyDescent="0.2">
      <c r="A18" s="137" t="s">
        <v>183</v>
      </c>
      <c r="B18" s="147" t="s">
        <v>130</v>
      </c>
      <c r="C18" s="141">
        <v>5.9999999999999995E-4</v>
      </c>
      <c r="D18" s="140"/>
    </row>
    <row r="19" spans="1:8" ht="14.25" x14ac:dyDescent="0.2">
      <c r="A19" s="137" t="s">
        <v>129</v>
      </c>
      <c r="B19" s="147" t="s">
        <v>132</v>
      </c>
      <c r="C19" s="141">
        <v>8.2000000000000007E-3</v>
      </c>
      <c r="D19" s="140"/>
    </row>
    <row r="20" spans="1:8" ht="14.25" x14ac:dyDescent="0.2">
      <c r="A20" s="137" t="s">
        <v>131</v>
      </c>
      <c r="B20" s="147" t="s">
        <v>134</v>
      </c>
      <c r="C20" s="141">
        <v>3.0999999999999999E-3</v>
      </c>
      <c r="D20" s="140"/>
    </row>
    <row r="21" spans="1:8" ht="14.25" x14ac:dyDescent="0.2">
      <c r="A21" s="137" t="s">
        <v>133</v>
      </c>
      <c r="B21" s="147" t="s">
        <v>135</v>
      </c>
      <c r="C21" s="141">
        <v>1.66E-2</v>
      </c>
      <c r="D21" s="140"/>
    </row>
    <row r="22" spans="1:8" ht="15" x14ac:dyDescent="0.2">
      <c r="A22" s="137" t="s">
        <v>136</v>
      </c>
      <c r="B22" s="142" t="s">
        <v>137</v>
      </c>
      <c r="C22" s="143">
        <f>SUM(C16:C21)</f>
        <v>0.17329999999999998</v>
      </c>
      <c r="D22" s="148"/>
    </row>
    <row r="23" spans="1:8" ht="15" x14ac:dyDescent="0.2">
      <c r="A23" s="144"/>
      <c r="B23" s="145"/>
      <c r="C23" s="146"/>
      <c r="D23" s="148"/>
    </row>
    <row r="24" spans="1:8" ht="14.25" x14ac:dyDescent="0.2">
      <c r="A24" s="137" t="s">
        <v>138</v>
      </c>
      <c r="B24" s="138" t="s">
        <v>139</v>
      </c>
      <c r="C24" s="141">
        <f>ROUND(('3.CAGED'!C38) *'3.CAGED'!C29/'3.CAGED'!C30,4)</f>
        <v>4.5100000000000001E-2</v>
      </c>
      <c r="D24" s="140"/>
      <c r="E24" s="149"/>
    </row>
    <row r="25" spans="1:8" ht="14.25" x14ac:dyDescent="0.2">
      <c r="A25" s="137" t="s">
        <v>182</v>
      </c>
      <c r="B25" s="138" t="s">
        <v>141</v>
      </c>
      <c r="C25" s="141">
        <f>ROUND(IF('3.CAGED'!C39&gt;12,12/'3.CAGED'!C39*0.1111,0.1111),4)</f>
        <v>4.9599999999999998E-2</v>
      </c>
      <c r="D25" s="140"/>
      <c r="H25" s="150"/>
    </row>
    <row r="26" spans="1:8" ht="14.25" x14ac:dyDescent="0.2">
      <c r="A26" s="137" t="s">
        <v>140</v>
      </c>
      <c r="B26" s="138" t="s">
        <v>143</v>
      </c>
      <c r="C26" s="141">
        <f>ROUND(('3.CAGED'!C32+'3.CAGED'!C31)/360*C24,4)</f>
        <v>5.0000000000000001E-3</v>
      </c>
      <c r="D26" s="140"/>
    </row>
    <row r="27" spans="1:8" ht="14.25" x14ac:dyDescent="0.2">
      <c r="A27" s="137" t="s">
        <v>142</v>
      </c>
      <c r="B27" s="138" t="s">
        <v>145</v>
      </c>
      <c r="C27" s="141">
        <f>ROUND(('3.CAGED'!C30+'3.CAGED'!C31+'3.CAGED'!C33)/'3.CAGED'!C28*'3.CAGED'!C35*'3.CAGED'!C36*'3.CAGED'!C29/'3.CAGED'!C30,4)</f>
        <v>4.4900000000000002E-2</v>
      </c>
      <c r="D27" s="140"/>
      <c r="G27" s="149"/>
    </row>
    <row r="28" spans="1:8" ht="14.25" x14ac:dyDescent="0.2">
      <c r="A28" s="137" t="s">
        <v>144</v>
      </c>
      <c r="B28" s="138" t="s">
        <v>146</v>
      </c>
      <c r="C28" s="141">
        <f>ROUND(('3.CAGED'!C32/'3.CAGED'!C30)*'3.CAGED'!C29/12,4)</f>
        <v>3.0999999999999999E-3</v>
      </c>
      <c r="D28" s="140"/>
    </row>
    <row r="29" spans="1:8" ht="15" x14ac:dyDescent="0.2">
      <c r="A29" s="137" t="s">
        <v>147</v>
      </c>
      <c r="B29" s="142" t="s">
        <v>148</v>
      </c>
      <c r="C29" s="143">
        <f>SUM(C24:C28)</f>
        <v>0.1477</v>
      </c>
      <c r="D29" s="148"/>
    </row>
    <row r="30" spans="1:8" ht="15" x14ac:dyDescent="0.2">
      <c r="A30" s="144"/>
      <c r="B30" s="145"/>
      <c r="C30" s="146"/>
      <c r="D30" s="148"/>
    </row>
    <row r="31" spans="1:8" ht="14.25" x14ac:dyDescent="0.2">
      <c r="A31" s="137" t="s">
        <v>149</v>
      </c>
      <c r="B31" s="138" t="s">
        <v>150</v>
      </c>
      <c r="C31" s="141">
        <f>ROUND(C14*C22,4)</f>
        <v>6.3799999999999996E-2</v>
      </c>
      <c r="D31" s="140"/>
    </row>
    <row r="32" spans="1:8" ht="28.5" x14ac:dyDescent="0.2">
      <c r="A32" s="137" t="s">
        <v>151</v>
      </c>
      <c r="B32" s="151" t="s">
        <v>152</v>
      </c>
      <c r="C32" s="141">
        <f>ROUND((C24*C14),4)</f>
        <v>1.66E-2</v>
      </c>
      <c r="D32" s="140"/>
    </row>
    <row r="33" spans="1:4" ht="15" x14ac:dyDescent="0.2">
      <c r="A33" s="137" t="s">
        <v>153</v>
      </c>
      <c r="B33" s="142" t="s">
        <v>154</v>
      </c>
      <c r="C33" s="143">
        <f>SUM(C31:C32)</f>
        <v>8.0399999999999999E-2</v>
      </c>
      <c r="D33" s="148"/>
    </row>
    <row r="34" spans="1:4" ht="15.75" thickBot="1" x14ac:dyDescent="0.25">
      <c r="A34" s="152"/>
      <c r="B34" s="153" t="s">
        <v>155</v>
      </c>
      <c r="C34" s="154">
        <f>C33+C29+C22+C14</f>
        <v>0.76940000000000008</v>
      </c>
      <c r="D34" s="148"/>
    </row>
    <row r="35" spans="1:4" ht="15" x14ac:dyDescent="0.2">
      <c r="A35" s="140"/>
      <c r="B35" s="155"/>
      <c r="C35" s="156"/>
      <c r="D35" s="157"/>
    </row>
    <row r="36" spans="1:4" ht="14.25" x14ac:dyDescent="0.2">
      <c r="A36" s="140"/>
      <c r="B36" s="140"/>
      <c r="C36" s="158"/>
      <c r="D36" s="159"/>
    </row>
    <row r="37" spans="1:4" ht="14.25" x14ac:dyDescent="0.2">
      <c r="A37" s="140"/>
      <c r="B37" s="140"/>
      <c r="C37" s="158"/>
      <c r="D37" s="140"/>
    </row>
    <row r="38" spans="1:4" ht="14.25" x14ac:dyDescent="0.2">
      <c r="A38" s="140"/>
      <c r="B38" s="140"/>
      <c r="C38" s="158"/>
      <c r="D38" s="140"/>
    </row>
    <row r="39" spans="1:4" ht="14.25" x14ac:dyDescent="0.2">
      <c r="A39" s="140"/>
      <c r="B39" s="140"/>
      <c r="C39" s="158"/>
      <c r="D39" s="140"/>
    </row>
    <row r="40" spans="1:4" ht="15" x14ac:dyDescent="0.2">
      <c r="A40" s="140"/>
      <c r="B40" s="155"/>
      <c r="C40" s="156"/>
      <c r="D40" s="140"/>
    </row>
    <row r="41" spans="1:4" ht="15" x14ac:dyDescent="0.2">
      <c r="A41" s="148"/>
      <c r="B41" s="155"/>
      <c r="C41" s="156"/>
      <c r="D41" s="148"/>
    </row>
    <row r="42" spans="1:4" ht="16.5" x14ac:dyDescent="0.2">
      <c r="A42" s="160"/>
    </row>
    <row r="43" spans="1:4" x14ac:dyDescent="0.2">
      <c r="A43" s="161"/>
      <c r="B43" s="162"/>
      <c r="C43" s="162"/>
    </row>
    <row r="44" spans="1:4" ht="14.25" x14ac:dyDescent="0.2">
      <c r="A44" s="140"/>
      <c r="B44" s="163"/>
      <c r="C44" s="162"/>
    </row>
    <row r="45" spans="1:4" ht="14.25" x14ac:dyDescent="0.2">
      <c r="A45" s="140"/>
      <c r="B45" s="163"/>
      <c r="C45" s="140"/>
    </row>
    <row r="46" spans="1:4" ht="14.25" x14ac:dyDescent="0.2">
      <c r="A46" s="140"/>
      <c r="B46" s="158"/>
      <c r="C46" s="162"/>
    </row>
    <row r="47" spans="1:4" ht="14.25" x14ac:dyDescent="0.2">
      <c r="A47" s="140"/>
      <c r="B47" s="163"/>
      <c r="C47" s="140"/>
    </row>
    <row r="48" spans="1:4" ht="14.25" x14ac:dyDescent="0.2">
      <c r="A48" s="140"/>
      <c r="B48" s="158"/>
      <c r="C48" s="162"/>
    </row>
    <row r="49" spans="1:3" ht="14.25" x14ac:dyDescent="0.2">
      <c r="A49" s="140"/>
      <c r="B49" s="163"/>
      <c r="C49" s="140"/>
    </row>
    <row r="50" spans="1:3" ht="14.25" x14ac:dyDescent="0.2">
      <c r="A50" s="140"/>
      <c r="B50" s="158"/>
      <c r="C50" s="162"/>
    </row>
    <row r="51" spans="1:3" ht="14.25" x14ac:dyDescent="0.2">
      <c r="A51" s="140"/>
      <c r="B51" s="163"/>
      <c r="C51" s="140"/>
    </row>
    <row r="52" spans="1:3" ht="14.25" x14ac:dyDescent="0.2">
      <c r="A52" s="140"/>
      <c r="B52" s="158"/>
      <c r="C52" s="162"/>
    </row>
    <row r="53" spans="1:3" ht="16.5" x14ac:dyDescent="0.2">
      <c r="A53" s="160"/>
    </row>
    <row r="56" spans="1:3" x14ac:dyDescent="0.2">
      <c r="A56" s="87"/>
    </row>
  </sheetData>
  <mergeCells count="1">
    <mergeCell ref="A4:C4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41"/>
  <sheetViews>
    <sheetView topLeftCell="A34" zoomScaleNormal="100" workbookViewId="0">
      <selection activeCell="C12" sqref="C12"/>
    </sheetView>
  </sheetViews>
  <sheetFormatPr defaultRowHeight="12.75" x14ac:dyDescent="0.2"/>
  <cols>
    <col min="1" max="1" width="8.5703125" style="1" customWidth="1"/>
    <col min="2" max="2" width="71.42578125" style="1" customWidth="1"/>
    <col min="3" max="3" width="13.7109375" style="1" customWidth="1"/>
    <col min="4" max="4" width="10.28515625" style="1" hidden="1" customWidth="1"/>
    <col min="5" max="5" width="13.7109375" style="1" hidden="1" customWidth="1"/>
    <col min="6" max="6" width="14.42578125" style="1" hidden="1" customWidth="1"/>
    <col min="7" max="7" width="12.7109375" style="1" hidden="1" customWidth="1"/>
    <col min="8" max="8" width="4.42578125" style="1" hidden="1" customWidth="1"/>
    <col min="9" max="9" width="6.85546875" style="1" hidden="1" customWidth="1"/>
    <col min="10" max="10" width="3.28515625" style="1" hidden="1" customWidth="1"/>
    <col min="11" max="11" width="0" style="1" hidden="1" customWidth="1"/>
    <col min="12" max="16384" width="9.140625" style="1"/>
  </cols>
  <sheetData>
    <row r="1" spans="1:3" x14ac:dyDescent="0.2">
      <c r="A1" s="88" t="s">
        <v>202</v>
      </c>
    </row>
    <row r="3" spans="1:3" x14ac:dyDescent="0.2">
      <c r="A3" s="1" t="s">
        <v>174</v>
      </c>
    </row>
    <row r="4" spans="1:3" x14ac:dyDescent="0.2">
      <c r="A4" s="230" t="s">
        <v>170</v>
      </c>
    </row>
    <row r="5" spans="1:3" ht="25.5" customHeight="1" x14ac:dyDescent="0.2">
      <c r="A5" s="368" t="s">
        <v>213</v>
      </c>
      <c r="B5" s="367"/>
      <c r="C5" s="367"/>
    </row>
    <row r="6" spans="1:3" x14ac:dyDescent="0.2">
      <c r="A6" s="1" t="s">
        <v>171</v>
      </c>
    </row>
    <row r="7" spans="1:3" ht="26.25" customHeight="1" x14ac:dyDescent="0.2">
      <c r="A7" s="367" t="s">
        <v>172</v>
      </c>
      <c r="B7" s="367"/>
      <c r="C7" s="367"/>
    </row>
    <row r="8" spans="1:3" x14ac:dyDescent="0.2">
      <c r="A8" s="1" t="s">
        <v>173</v>
      </c>
    </row>
    <row r="9" spans="1:3" x14ac:dyDescent="0.2">
      <c r="A9" s="1" t="s">
        <v>203</v>
      </c>
    </row>
    <row r="10" spans="1:3" ht="13.5" thickBot="1" x14ac:dyDescent="0.25"/>
    <row r="11" spans="1:3" ht="18" x14ac:dyDescent="0.25">
      <c r="B11" s="365" t="s">
        <v>191</v>
      </c>
      <c r="C11" s="366"/>
    </row>
    <row r="12" spans="1:3" ht="15" x14ac:dyDescent="0.25">
      <c r="B12" s="124" t="s">
        <v>169</v>
      </c>
      <c r="C12" s="164"/>
    </row>
    <row r="13" spans="1:3" ht="15" x14ac:dyDescent="0.25">
      <c r="B13" s="125" t="s">
        <v>87</v>
      </c>
      <c r="C13" s="126">
        <v>2376</v>
      </c>
    </row>
    <row r="14" spans="1:3" ht="15" x14ac:dyDescent="0.25">
      <c r="B14" s="127" t="s">
        <v>88</v>
      </c>
      <c r="C14" s="126">
        <v>2746</v>
      </c>
    </row>
    <row r="15" spans="1:3" ht="14.25" x14ac:dyDescent="0.2">
      <c r="B15" s="165" t="s">
        <v>89</v>
      </c>
      <c r="C15" s="166">
        <v>157</v>
      </c>
    </row>
    <row r="16" spans="1:3" ht="14.25" x14ac:dyDescent="0.2">
      <c r="B16" s="165" t="s">
        <v>90</v>
      </c>
      <c r="C16" s="166">
        <v>2589</v>
      </c>
    </row>
    <row r="17" spans="1:7" ht="14.25" x14ac:dyDescent="0.2">
      <c r="B17" s="165" t="s">
        <v>91</v>
      </c>
      <c r="C17" s="166">
        <v>336</v>
      </c>
    </row>
    <row r="18" spans="1:7" ht="14.25" x14ac:dyDescent="0.2">
      <c r="B18" s="165" t="s">
        <v>92</v>
      </c>
      <c r="C18" s="166">
        <v>24</v>
      </c>
    </row>
    <row r="19" spans="1:7" ht="14.25" x14ac:dyDescent="0.2">
      <c r="B19" s="165" t="s">
        <v>93</v>
      </c>
      <c r="C19" s="166">
        <v>448</v>
      </c>
    </row>
    <row r="20" spans="1:7" ht="14.25" x14ac:dyDescent="0.2">
      <c r="B20" s="165" t="s">
        <v>94</v>
      </c>
      <c r="C20" s="166">
        <v>1</v>
      </c>
    </row>
    <row r="21" spans="1:7" ht="14.25" x14ac:dyDescent="0.2">
      <c r="B21" s="165" t="s">
        <v>95</v>
      </c>
      <c r="C21" s="166">
        <v>24</v>
      </c>
    </row>
    <row r="22" spans="1:7" ht="14.25" x14ac:dyDescent="0.2">
      <c r="B22" s="167" t="s">
        <v>96</v>
      </c>
      <c r="C22" s="168">
        <v>0</v>
      </c>
    </row>
    <row r="23" spans="1:7" ht="15" x14ac:dyDescent="0.25">
      <c r="A23" s="1" t="s">
        <v>97</v>
      </c>
      <c r="B23" s="124" t="s">
        <v>98</v>
      </c>
      <c r="C23" s="164"/>
    </row>
    <row r="24" spans="1:7" ht="14.25" x14ac:dyDescent="0.2">
      <c r="B24" s="169" t="s">
        <v>222</v>
      </c>
      <c r="C24" s="170">
        <v>6342</v>
      </c>
    </row>
    <row r="25" spans="1:7" ht="14.25" x14ac:dyDescent="0.2">
      <c r="B25" s="165" t="s">
        <v>221</v>
      </c>
      <c r="C25" s="166">
        <v>5133</v>
      </c>
    </row>
    <row r="26" spans="1:7" ht="14.25" x14ac:dyDescent="0.2">
      <c r="B26" s="165" t="s">
        <v>219</v>
      </c>
      <c r="C26" s="166">
        <v>-1209</v>
      </c>
    </row>
    <row r="27" spans="1:7" ht="14.25" x14ac:dyDescent="0.2">
      <c r="B27" s="171"/>
      <c r="C27" s="172"/>
    </row>
    <row r="28" spans="1:7" ht="15" x14ac:dyDescent="0.25">
      <c r="B28" s="128" t="s">
        <v>99</v>
      </c>
      <c r="C28" s="231">
        <f>MEDIAN(C13,C14)/MEDIAN(C24,C25)</f>
        <v>0.44636165577342046</v>
      </c>
      <c r="G28" s="1">
        <f>12/C28</f>
        <v>26.884029675907851</v>
      </c>
    </row>
    <row r="29" spans="1:7" ht="15" x14ac:dyDescent="0.25">
      <c r="B29" s="125" t="s">
        <v>100</v>
      </c>
      <c r="C29" s="231">
        <f>C16/MEDIAN(C24,C25)</f>
        <v>0.45124183006535945</v>
      </c>
    </row>
    <row r="30" spans="1:7" ht="15" x14ac:dyDescent="0.25">
      <c r="B30" s="130" t="s">
        <v>101</v>
      </c>
      <c r="C30" s="129">
        <v>360</v>
      </c>
    </row>
    <row r="31" spans="1:7" ht="15" x14ac:dyDescent="0.25">
      <c r="B31" s="125" t="s">
        <v>204</v>
      </c>
      <c r="C31" s="129">
        <v>10</v>
      </c>
    </row>
    <row r="32" spans="1:7" ht="15" x14ac:dyDescent="0.25">
      <c r="B32" s="125" t="s">
        <v>205</v>
      </c>
      <c r="C32" s="129">
        <v>30</v>
      </c>
      <c r="G32" s="1">
        <f>TRUNC(G37)</f>
        <v>2</v>
      </c>
    </row>
    <row r="33" spans="2:11" ht="15" x14ac:dyDescent="0.25">
      <c r="B33" s="125" t="s">
        <v>206</v>
      </c>
      <c r="C33" s="129">
        <v>30</v>
      </c>
    </row>
    <row r="34" spans="2:11" s="88" customFormat="1" ht="15" x14ac:dyDescent="0.25">
      <c r="B34" s="125" t="s">
        <v>102</v>
      </c>
      <c r="C34" s="173">
        <f>MEDIAN(C24,C25)</f>
        <v>5737.5</v>
      </c>
    </row>
    <row r="35" spans="2:11" s="88" customFormat="1" ht="15" x14ac:dyDescent="0.25">
      <c r="B35" s="125" t="s">
        <v>33</v>
      </c>
      <c r="C35" s="174">
        <v>0.08</v>
      </c>
      <c r="K35" s="88">
        <f>IF(C39&gt;12,C39-12,C39)</f>
        <v>14.884029675907851</v>
      </c>
    </row>
    <row r="36" spans="2:11" s="88" customFormat="1" ht="15" x14ac:dyDescent="0.25">
      <c r="B36" s="125" t="s">
        <v>103</v>
      </c>
      <c r="C36" s="174">
        <v>0.5</v>
      </c>
      <c r="K36" s="88" t="e">
        <f>IF(#REF!&gt;12,#REF!-12,#REF!)</f>
        <v>#REF!</v>
      </c>
    </row>
    <row r="37" spans="2:11" s="88" customFormat="1" ht="15" x14ac:dyDescent="0.25">
      <c r="B37" s="125" t="s">
        <v>104</v>
      </c>
      <c r="C37" s="232">
        <f>((1/C28)-TRUNC(E37))</f>
        <v>0.24033580632565421</v>
      </c>
      <c r="D37" s="88">
        <f>TRUNC(E37)</f>
        <v>2</v>
      </c>
      <c r="E37" s="88">
        <f>1/C28</f>
        <v>2.2403358063256542</v>
      </c>
      <c r="F37" s="88">
        <f>((1/C28)-TRUNC(E37))</f>
        <v>0.24033580632565421</v>
      </c>
      <c r="G37" s="88">
        <f>12*F37</f>
        <v>2.8840296759078505</v>
      </c>
      <c r="K37" s="88" t="e">
        <f>IF(#REF!&gt;12,#REF!-12,#REF!)</f>
        <v>#REF!</v>
      </c>
    </row>
    <row r="38" spans="2:11" s="88" customFormat="1" ht="15" x14ac:dyDescent="0.25">
      <c r="B38" s="124" t="s">
        <v>105</v>
      </c>
      <c r="C38" s="131">
        <f>30+D38</f>
        <v>36</v>
      </c>
      <c r="D38" s="88">
        <f>3*D37</f>
        <v>6</v>
      </c>
      <c r="G38" s="88">
        <f>G37/12*40/360</f>
        <v>2.6703978480628245E-2</v>
      </c>
      <c r="K38" s="88" t="e">
        <f>IF(#REF!&gt;12,#REF!-12,#REF!)</f>
        <v>#REF!</v>
      </c>
    </row>
    <row r="39" spans="2:11" s="88" customFormat="1" ht="15.75" thickBot="1" x14ac:dyDescent="0.3">
      <c r="B39" s="132" t="s">
        <v>209</v>
      </c>
      <c r="C39" s="233">
        <f>12/C28</f>
        <v>26.884029675907851</v>
      </c>
      <c r="K39" s="88" t="e">
        <f>IF(#REF!&gt;12,#REF!-12,#REF!)</f>
        <v>#REF!</v>
      </c>
    </row>
    <row r="40" spans="2:11" x14ac:dyDescent="0.2">
      <c r="K40" s="1" t="e">
        <f t="shared" ref="K40:K41" si="0">IF(K39&gt;12,K39-12,K39)</f>
        <v>#REF!</v>
      </c>
    </row>
    <row r="41" spans="2:11" x14ac:dyDescent="0.2">
      <c r="K41" s="1" t="e">
        <f t="shared" si="0"/>
        <v>#REF!</v>
      </c>
    </row>
  </sheetData>
  <mergeCells count="3">
    <mergeCell ref="B11:C11"/>
    <mergeCell ref="A7:C7"/>
    <mergeCell ref="A5:C5"/>
  </mergeCells>
  <pageMargins left="0.90551181102362199" right="0.51181102362204722" top="0.74803149606299213" bottom="0.74803149606299213" header="0.31496062992125984" footer="0.31496062992125984"/>
  <pageSetup paperSize="9" scale="98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zoomScaleNormal="100" workbookViewId="0">
      <selection activeCell="C12" sqref="C12"/>
    </sheetView>
  </sheetViews>
  <sheetFormatPr defaultRowHeight="12.75" x14ac:dyDescent="0.2"/>
  <cols>
    <col min="1" max="1" width="41.85546875" bestFit="1" customWidth="1"/>
    <col min="2" max="2" width="5.5703125" bestFit="1" customWidth="1"/>
    <col min="4" max="4" width="9.7109375" bestFit="1" customWidth="1"/>
    <col min="5" max="5" width="8" style="98" bestFit="1" customWidth="1"/>
    <col min="6" max="6" width="9.7109375" bestFit="1" customWidth="1"/>
  </cols>
  <sheetData>
    <row r="1" spans="1:8" s="117" customFormat="1" ht="14.25" x14ac:dyDescent="0.2">
      <c r="A1" s="11" t="s">
        <v>167</v>
      </c>
      <c r="B1" s="8"/>
      <c r="C1" s="8"/>
      <c r="E1" s="118"/>
    </row>
    <row r="2" spans="1:8" s="117" customFormat="1" ht="14.25" x14ac:dyDescent="0.2">
      <c r="A2" s="113" t="s">
        <v>210</v>
      </c>
      <c r="B2" s="8"/>
      <c r="C2" s="8"/>
      <c r="E2" s="118"/>
    </row>
    <row r="3" spans="1:8" s="117" customFormat="1" ht="14.25" x14ac:dyDescent="0.2">
      <c r="A3" s="9" t="s">
        <v>168</v>
      </c>
      <c r="B3" s="8"/>
      <c r="C3" s="8"/>
      <c r="E3" s="118"/>
    </row>
    <row r="4" spans="1:8" s="117" customFormat="1" ht="14.25" x14ac:dyDescent="0.2">
      <c r="A4" s="113"/>
      <c r="B4" s="8"/>
      <c r="C4" s="8"/>
      <c r="E4" s="118"/>
    </row>
    <row r="5" spans="1:8" s="117" customFormat="1" ht="15" thickBot="1" x14ac:dyDescent="0.25">
      <c r="B5" s="8"/>
      <c r="C5" s="8"/>
      <c r="E5" s="118"/>
    </row>
    <row r="6" spans="1:8" ht="15.75" x14ac:dyDescent="0.2">
      <c r="A6" s="374" t="s">
        <v>192</v>
      </c>
      <c r="B6" s="375"/>
      <c r="C6" s="375"/>
      <c r="D6" s="375"/>
      <c r="E6" s="375"/>
      <c r="F6" s="376"/>
    </row>
    <row r="7" spans="1:8" ht="16.5" thickBot="1" x14ac:dyDescent="0.25">
      <c r="A7" s="219"/>
      <c r="B7" s="220"/>
      <c r="C7" s="220"/>
      <c r="D7" s="220"/>
      <c r="E7" s="220"/>
      <c r="F7" s="221"/>
    </row>
    <row r="8" spans="1:8" ht="15" x14ac:dyDescent="0.25">
      <c r="A8" s="175"/>
      <c r="B8" s="8"/>
      <c r="C8" s="8"/>
      <c r="D8" s="371" t="s">
        <v>207</v>
      </c>
      <c r="E8" s="372"/>
      <c r="F8" s="373"/>
      <c r="G8" s="117"/>
      <c r="H8" s="117"/>
    </row>
    <row r="9" spans="1:8" ht="15" thickBot="1" x14ac:dyDescent="0.25">
      <c r="A9" s="171"/>
      <c r="B9" s="117"/>
      <c r="C9" s="117"/>
      <c r="D9" s="176" t="s">
        <v>156</v>
      </c>
      <c r="E9" s="177" t="s">
        <v>157</v>
      </c>
      <c r="F9" s="178" t="s">
        <v>158</v>
      </c>
      <c r="G9" s="117"/>
      <c r="H9" s="117"/>
    </row>
    <row r="10" spans="1:8" ht="14.25" x14ac:dyDescent="0.2">
      <c r="A10" s="179" t="s">
        <v>59</v>
      </c>
      <c r="B10" s="180" t="s">
        <v>60</v>
      </c>
      <c r="C10" s="181">
        <v>5.0799999999999998E-2</v>
      </c>
      <c r="D10" s="203">
        <v>2.9700000000000001E-2</v>
      </c>
      <c r="E10" s="204">
        <v>5.0799999999999998E-2</v>
      </c>
      <c r="F10" s="205">
        <v>6.2700000000000006E-2</v>
      </c>
      <c r="G10" s="117"/>
      <c r="H10" s="117"/>
    </row>
    <row r="11" spans="1:8" ht="14.25" x14ac:dyDescent="0.2">
      <c r="A11" s="184" t="s">
        <v>61</v>
      </c>
      <c r="B11" s="185" t="s">
        <v>62</v>
      </c>
      <c r="C11" s="186">
        <v>1.3299999999999999E-2</v>
      </c>
      <c r="D11" s="203">
        <f>0.3%+0.56%</f>
        <v>8.6E-3</v>
      </c>
      <c r="E11" s="204">
        <f>0.48%+0.85%</f>
        <v>1.3299999999999999E-2</v>
      </c>
      <c r="F11" s="205">
        <f>0.82%+0.89%</f>
        <v>1.7099999999999997E-2</v>
      </c>
      <c r="G11" s="117"/>
      <c r="H11" s="117"/>
    </row>
    <row r="12" spans="1:8" ht="14.25" x14ac:dyDescent="0.2">
      <c r="A12" s="184" t="s">
        <v>63</v>
      </c>
      <c r="B12" s="185" t="s">
        <v>64</v>
      </c>
      <c r="C12" s="186">
        <v>0.1085</v>
      </c>
      <c r="D12" s="203">
        <v>7.7799999999999994E-2</v>
      </c>
      <c r="E12" s="204">
        <v>0.1085</v>
      </c>
      <c r="F12" s="205">
        <v>0.13550000000000001</v>
      </c>
      <c r="G12" s="117"/>
      <c r="H12" s="117"/>
    </row>
    <row r="13" spans="1:8" ht="14.25" x14ac:dyDescent="0.2">
      <c r="A13" s="184" t="s">
        <v>65</v>
      </c>
      <c r="B13" s="185" t="s">
        <v>66</v>
      </c>
      <c r="C13" s="187">
        <f>(1+E13)^(E14/252)-1</f>
        <v>6.0156215333273533E-3</v>
      </c>
      <c r="D13" s="182" t="s">
        <v>159</v>
      </c>
      <c r="E13" s="188">
        <v>6.5000000000000002E-2</v>
      </c>
      <c r="F13" s="183"/>
      <c r="G13" s="117"/>
      <c r="H13" s="117"/>
    </row>
    <row r="14" spans="1:8" ht="14.25" x14ac:dyDescent="0.2">
      <c r="A14" s="184" t="s">
        <v>67</v>
      </c>
      <c r="B14" s="369" t="s">
        <v>68</v>
      </c>
      <c r="C14" s="186">
        <v>0.03</v>
      </c>
      <c r="D14" s="165" t="s">
        <v>160</v>
      </c>
      <c r="E14" s="189">
        <v>24</v>
      </c>
      <c r="F14" s="190"/>
      <c r="G14" s="117"/>
      <c r="H14" s="117"/>
    </row>
    <row r="15" spans="1:8" ht="15" thickBot="1" x14ac:dyDescent="0.25">
      <c r="A15" s="191" t="s">
        <v>69</v>
      </c>
      <c r="B15" s="370"/>
      <c r="C15" s="192">
        <v>3.6499999999999998E-2</v>
      </c>
      <c r="D15" s="165"/>
      <c r="E15" s="193"/>
      <c r="F15" s="190"/>
      <c r="G15" s="117"/>
      <c r="H15" s="117"/>
    </row>
    <row r="16" spans="1:8" ht="14.25" x14ac:dyDescent="0.2">
      <c r="A16" s="194" t="s">
        <v>70</v>
      </c>
      <c r="B16" s="195"/>
      <c r="C16" s="196"/>
      <c r="D16" s="165"/>
      <c r="E16" s="193"/>
      <c r="F16" s="190"/>
      <c r="G16" s="117"/>
      <c r="H16" s="117"/>
    </row>
    <row r="17" spans="1:8" ht="15" thickBot="1" x14ac:dyDescent="0.25">
      <c r="A17" s="197" t="s">
        <v>71</v>
      </c>
      <c r="B17" s="198"/>
      <c r="C17" s="199"/>
      <c r="D17" s="165"/>
      <c r="E17" s="193"/>
      <c r="F17" s="190"/>
      <c r="G17" s="117"/>
      <c r="H17" s="117"/>
    </row>
    <row r="18" spans="1:8" ht="15.75" thickBot="1" x14ac:dyDescent="0.25">
      <c r="A18" s="200" t="s">
        <v>72</v>
      </c>
      <c r="B18" s="201"/>
      <c r="C18" s="202">
        <f>ROUND((((1+C10+C11)*(1+C12)*(1+C13))/(1-(C14+C15))-1),4)</f>
        <v>0.2712</v>
      </c>
      <c r="D18" s="206">
        <v>0.21429999999999999</v>
      </c>
      <c r="E18" s="207">
        <v>0.2717</v>
      </c>
      <c r="F18" s="208">
        <v>0.3362</v>
      </c>
      <c r="G18" s="117"/>
      <c r="H18" s="117"/>
    </row>
    <row r="19" spans="1:8" ht="14.25" x14ac:dyDescent="0.2">
      <c r="A19" s="117"/>
      <c r="B19" s="117"/>
      <c r="C19" s="117"/>
      <c r="D19" s="117"/>
      <c r="E19" s="118"/>
      <c r="F19" s="117"/>
      <c r="G19" s="117"/>
      <c r="H19" s="117"/>
    </row>
    <row r="20" spans="1:8" ht="14.25" x14ac:dyDescent="0.2">
      <c r="A20" s="117"/>
      <c r="B20" s="117"/>
      <c r="C20" s="117"/>
      <c r="D20" s="117"/>
      <c r="E20" s="118"/>
      <c r="F20" s="117"/>
      <c r="G20" s="117"/>
      <c r="H20" s="117"/>
    </row>
    <row r="21" spans="1:8" ht="14.25" x14ac:dyDescent="0.2">
      <c r="A21" s="117"/>
      <c r="B21" s="117"/>
      <c r="C21" s="117"/>
      <c r="D21" s="117"/>
      <c r="E21" s="118"/>
      <c r="F21" s="117"/>
      <c r="G21" s="117"/>
      <c r="H21" s="117"/>
    </row>
    <row r="22" spans="1:8" ht="14.25" x14ac:dyDescent="0.2">
      <c r="A22" s="117"/>
      <c r="B22" s="117"/>
      <c r="C22" s="117"/>
      <c r="D22" s="117"/>
      <c r="E22" s="118"/>
      <c r="F22" s="117"/>
      <c r="G22" s="117"/>
      <c r="H22" s="117"/>
    </row>
  </sheetData>
  <mergeCells count="3">
    <mergeCell ref="B14:B15"/>
    <mergeCell ref="D8:F8"/>
    <mergeCell ref="A6:F6"/>
  </mergeCells>
  <pageMargins left="0.90551181102362199" right="0.51181102362204722" top="0.74803149606299213" bottom="0.74803149606299213" header="0.31496062992125984" footer="0.31496062992125984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7"/>
  <sheetViews>
    <sheetView workbookViewId="0">
      <selection activeCell="H10" sqref="H10"/>
    </sheetView>
  </sheetViews>
  <sheetFormatPr defaultRowHeight="19.5" customHeight="1" x14ac:dyDescent="0.2"/>
  <cols>
    <col min="1" max="1" width="24.5703125" style="1" customWidth="1"/>
    <col min="2" max="2" width="18.5703125" style="1" customWidth="1"/>
    <col min="3" max="16384" width="9.140625" style="1"/>
  </cols>
  <sheetData>
    <row r="1" spans="1:2" ht="19.5" customHeight="1" thickBot="1" x14ac:dyDescent="0.25">
      <c r="A1" s="377" t="s">
        <v>194</v>
      </c>
      <c r="B1" s="378"/>
    </row>
    <row r="2" spans="1:2" s="88" customFormat="1" ht="19.5" customHeight="1" x14ac:dyDescent="0.2">
      <c r="A2" s="222" t="s">
        <v>175</v>
      </c>
      <c r="B2" s="223" t="s">
        <v>79</v>
      </c>
    </row>
    <row r="3" spans="1:2" ht="19.5" customHeight="1" x14ac:dyDescent="0.2">
      <c r="A3" s="134">
        <v>1</v>
      </c>
      <c r="B3" s="133">
        <v>33.629999999999995</v>
      </c>
    </row>
    <row r="4" spans="1:2" ht="19.5" customHeight="1" x14ac:dyDescent="0.2">
      <c r="A4" s="134">
        <v>2</v>
      </c>
      <c r="B4" s="133">
        <v>43.13</v>
      </c>
    </row>
    <row r="5" spans="1:2" ht="19.5" customHeight="1" x14ac:dyDescent="0.2">
      <c r="A5" s="134">
        <v>3</v>
      </c>
      <c r="B5" s="133">
        <v>48.68</v>
      </c>
    </row>
    <row r="6" spans="1:2" ht="19.5" customHeight="1" x14ac:dyDescent="0.2">
      <c r="A6" s="134">
        <v>4</v>
      </c>
      <c r="B6" s="133">
        <v>52.62</v>
      </c>
    </row>
    <row r="7" spans="1:2" ht="19.5" customHeight="1" x14ac:dyDescent="0.2">
      <c r="A7" s="134">
        <v>5</v>
      </c>
      <c r="B7" s="133">
        <v>55.679999999999993</v>
      </c>
    </row>
    <row r="8" spans="1:2" ht="19.5" customHeight="1" x14ac:dyDescent="0.2">
      <c r="A8" s="134">
        <v>6</v>
      </c>
      <c r="B8" s="133">
        <v>58.18</v>
      </c>
    </row>
    <row r="9" spans="1:2" ht="19.5" customHeight="1" x14ac:dyDescent="0.2">
      <c r="A9" s="134">
        <v>7</v>
      </c>
      <c r="B9" s="133">
        <v>60.29</v>
      </c>
    </row>
    <row r="10" spans="1:2" ht="19.5" customHeight="1" x14ac:dyDescent="0.2">
      <c r="A10" s="134">
        <v>8</v>
      </c>
      <c r="B10" s="133">
        <v>62.12</v>
      </c>
    </row>
    <row r="11" spans="1:2" ht="19.5" customHeight="1" x14ac:dyDescent="0.2">
      <c r="A11" s="134">
        <v>9</v>
      </c>
      <c r="B11" s="133">
        <v>63.73</v>
      </c>
    </row>
    <row r="12" spans="1:2" ht="19.5" customHeight="1" x14ac:dyDescent="0.2">
      <c r="A12" s="134">
        <v>10</v>
      </c>
      <c r="B12" s="133">
        <v>65.180000000000007</v>
      </c>
    </row>
    <row r="13" spans="1:2" ht="19.5" customHeight="1" x14ac:dyDescent="0.2">
      <c r="A13" s="134">
        <v>11</v>
      </c>
      <c r="B13" s="133">
        <v>66.47999999999999</v>
      </c>
    </row>
    <row r="14" spans="1:2" ht="19.5" customHeight="1" x14ac:dyDescent="0.2">
      <c r="A14" s="134">
        <v>12</v>
      </c>
      <c r="B14" s="133">
        <v>67.67</v>
      </c>
    </row>
    <row r="15" spans="1:2" ht="19.5" customHeight="1" x14ac:dyDescent="0.2">
      <c r="A15" s="134">
        <v>13</v>
      </c>
      <c r="B15" s="133">
        <v>68.77</v>
      </c>
    </row>
    <row r="16" spans="1:2" ht="19.5" customHeight="1" x14ac:dyDescent="0.2">
      <c r="A16" s="134">
        <v>14</v>
      </c>
      <c r="B16" s="133">
        <v>69.789999999999992</v>
      </c>
    </row>
    <row r="17" spans="1:2" ht="19.5" customHeight="1" thickBot="1" x14ac:dyDescent="0.25">
      <c r="A17" s="135">
        <v>15</v>
      </c>
      <c r="B17" s="136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17"/>
  <sheetViews>
    <sheetView workbookViewId="0">
      <selection activeCell="A24" sqref="A24"/>
    </sheetView>
  </sheetViews>
  <sheetFormatPr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212" t="s">
        <v>198</v>
      </c>
    </row>
    <row r="2" spans="1:1" x14ac:dyDescent="0.2">
      <c r="A2" s="209"/>
    </row>
    <row r="3" spans="1:1" x14ac:dyDescent="0.2">
      <c r="A3" s="209" t="s">
        <v>211</v>
      </c>
    </row>
    <row r="4" spans="1:1" x14ac:dyDescent="0.2">
      <c r="A4" s="209"/>
    </row>
    <row r="5" spans="1:1" x14ac:dyDescent="0.2">
      <c r="A5" s="209"/>
    </row>
    <row r="6" spans="1:1" x14ac:dyDescent="0.2">
      <c r="A6" s="209"/>
    </row>
    <row r="7" spans="1:1" x14ac:dyDescent="0.2">
      <c r="A7" s="209"/>
    </row>
    <row r="8" spans="1:1" x14ac:dyDescent="0.2">
      <c r="A8" s="209"/>
    </row>
    <row r="9" spans="1:1" x14ac:dyDescent="0.2">
      <c r="A9" s="209"/>
    </row>
    <row r="10" spans="1:1" x14ac:dyDescent="0.2">
      <c r="A10" s="209"/>
    </row>
    <row r="11" spans="1:1" x14ac:dyDescent="0.2">
      <c r="A11" s="209"/>
    </row>
    <row r="12" spans="1:1" ht="19.5" x14ac:dyDescent="0.35">
      <c r="A12" s="210" t="s">
        <v>195</v>
      </c>
    </row>
    <row r="13" spans="1:1" ht="15" x14ac:dyDescent="0.2">
      <c r="A13" s="210" t="s">
        <v>82</v>
      </c>
    </row>
    <row r="14" spans="1:1" ht="15" x14ac:dyDescent="0.2">
      <c r="A14" s="210" t="s">
        <v>85</v>
      </c>
    </row>
    <row r="15" spans="1:1" ht="19.5" x14ac:dyDescent="0.35">
      <c r="A15" s="210" t="s">
        <v>196</v>
      </c>
    </row>
    <row r="16" spans="1:1" ht="19.5" x14ac:dyDescent="0.35">
      <c r="A16" s="210" t="s">
        <v>197</v>
      </c>
    </row>
    <row r="17" spans="1:1" ht="15.75" thickBot="1" x14ac:dyDescent="0.25">
      <c r="A17" s="211" t="s">
        <v>83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5</vt:i4>
      </vt:variant>
    </vt:vector>
  </HeadingPairs>
  <TitlesOfParts>
    <vt:vector size="11" baseType="lpstr">
      <vt:lpstr>1. Transbordo de RSU</vt:lpstr>
      <vt:lpstr>2.Encargos Sociais</vt:lpstr>
      <vt:lpstr>3.CAGED</vt:lpstr>
      <vt:lpstr>4.BDI</vt:lpstr>
      <vt:lpstr>5. Depreciação</vt:lpstr>
      <vt:lpstr>6.Remuneração de capital</vt:lpstr>
      <vt:lpstr>AbaDeprec</vt:lpstr>
      <vt:lpstr>AbaRemun</vt:lpstr>
      <vt:lpstr>'1. Transbordo de RSU'!Area_de_impressao</vt:lpstr>
      <vt:lpstr>'2.Encargos Sociais'!Area_de_impressao</vt:lpstr>
      <vt:lpstr>'1. Transbordo de RSU'!Titulos_de_impressao</vt:lpstr>
    </vt:vector>
  </TitlesOfParts>
  <Company>dmlu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lastPrinted>2021-03-03T11:02:41Z</cp:lastPrinted>
  <dcterms:created xsi:type="dcterms:W3CDTF">2000-12-13T10:02:50Z</dcterms:created>
  <dcterms:modified xsi:type="dcterms:W3CDTF">2021-03-05T22:05:48Z</dcterms:modified>
</cp:coreProperties>
</file>