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\lixo\arquivos para nova licitação\processo de licitação\"/>
    </mc:Choice>
  </mc:AlternateContent>
  <xr:revisionPtr revIDLastSave="0" documentId="13_ncr:1_{83FF4B0D-551E-4128-8081-43C5CB076EE8}" xr6:coauthVersionLast="45" xr6:coauthVersionMax="45" xr10:uidLastSave="{00000000-0000-0000-0000-000000000000}"/>
  <bookViews>
    <workbookView xWindow="-120" yWindow="-120" windowWidth="21840" windowHeight="13140" tabRatio="802" xr2:uid="{00000000-000D-0000-FFFF-FFFF00000000}"/>
  </bookViews>
  <sheets>
    <sheet name="1. Transporte de RSU" sheetId="2" r:id="rId1"/>
    <sheet name="2.Encargos Sociais" sheetId="8" r:id="rId2"/>
    <sheet name="3.CAGED" sheetId="5" r:id="rId3"/>
    <sheet name="4.BDI" sheetId="4" r:id="rId4"/>
    <sheet name="5. Depreciação" sheetId="6" r:id="rId5"/>
    <sheet name="6.Remuneração de capital" sheetId="7" r:id="rId6"/>
  </sheets>
  <definedNames>
    <definedName name="AbaDeprec">'5. Depreciação'!$A$1</definedName>
    <definedName name="AbaRemun">'6.Remuneração de capital'!$A$1</definedName>
    <definedName name="_xlnm.Print_Area" localSheetId="1">'2.Encargos Sociais'!$A$1:$C$36</definedName>
    <definedName name="_xlnm.Print_Titles" localSheetId="0">'1. Transporte de RSU'!$1:$18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6" i="2" l="1"/>
  <c r="E103" i="2"/>
  <c r="D195" i="2" l="1"/>
  <c r="C112" i="2"/>
  <c r="C181" i="2" l="1"/>
  <c r="D209" i="2" l="1"/>
  <c r="E209" i="2" s="1"/>
  <c r="A50" i="2" l="1"/>
  <c r="A49" i="2"/>
  <c r="E128" i="2" l="1"/>
  <c r="D217" i="2" l="1"/>
  <c r="D215" i="2"/>
  <c r="D213" i="2"/>
  <c r="E213" i="2" s="1"/>
  <c r="D211" i="2"/>
  <c r="E138" i="2"/>
  <c r="E242" i="2"/>
  <c r="D207" i="2"/>
  <c r="E207" i="2" s="1"/>
  <c r="C211" i="2"/>
  <c r="E211" i="2" l="1"/>
  <c r="C217" i="2"/>
  <c r="E217" i="2" s="1"/>
  <c r="E42" i="2"/>
  <c r="D65" i="2" l="1"/>
  <c r="E65" i="2" s="1"/>
  <c r="D66" i="2"/>
  <c r="E66" i="2" s="1"/>
  <c r="D94" i="2" l="1"/>
  <c r="E94" i="2" s="1"/>
  <c r="D93" i="2"/>
  <c r="E93" i="2" s="1"/>
  <c r="C139" i="2" l="1"/>
  <c r="C166" i="2"/>
  <c r="C171" i="2"/>
  <c r="C190" i="2" l="1"/>
  <c r="C185" i="2"/>
  <c r="D145" i="2" l="1"/>
  <c r="E145" i="2" s="1"/>
  <c r="E129" i="2"/>
  <c r="E130" i="2"/>
  <c r="E131" i="2"/>
  <c r="E132" i="2"/>
  <c r="E133" i="2"/>
  <c r="E134" i="2"/>
  <c r="E135" i="2"/>
  <c r="E136" i="2"/>
  <c r="E137" i="2"/>
  <c r="D139" i="2" l="1"/>
  <c r="E139" i="2" s="1"/>
  <c r="F140" i="2" s="1"/>
  <c r="D79" i="2"/>
  <c r="E79" i="2" s="1"/>
  <c r="D67" i="2" l="1"/>
  <c r="E67" i="2" s="1"/>
  <c r="D80" i="2"/>
  <c r="E80" i="2" s="1"/>
  <c r="D81" i="2" s="1"/>
  <c r="E81" i="2" s="1"/>
  <c r="C232" i="2" l="1"/>
  <c r="A39" i="2"/>
  <c r="A38" i="2"/>
  <c r="A37" i="2"/>
  <c r="A36" i="2"/>
  <c r="A35" i="2"/>
  <c r="A34" i="2"/>
  <c r="A33" i="2"/>
  <c r="A30" i="2"/>
  <c r="A29" i="2"/>
  <c r="A28" i="2"/>
  <c r="A27" i="2"/>
  <c r="A26" i="2"/>
  <c r="A25" i="2"/>
  <c r="C17" i="8"/>
  <c r="E119" i="2"/>
  <c r="C13" i="4"/>
  <c r="C18" i="4" s="1"/>
  <c r="F11" i="4"/>
  <c r="E11" i="4"/>
  <c r="D11" i="4"/>
  <c r="C14" i="8"/>
  <c r="C34" i="5"/>
  <c r="C29" i="5"/>
  <c r="C28" i="8" s="1"/>
  <c r="C28" i="5"/>
  <c r="E77" i="2"/>
  <c r="E230" i="2"/>
  <c r="D218" i="2"/>
  <c r="E163" i="2"/>
  <c r="C167" i="2"/>
  <c r="C252" i="2"/>
  <c r="E252" i="2" s="1"/>
  <c r="D253" i="2" s="1"/>
  <c r="E253" i="2" s="1"/>
  <c r="C168" i="2"/>
  <c r="C184" i="2" s="1"/>
  <c r="A24" i="2"/>
  <c r="A31" i="2"/>
  <c r="A32" i="2"/>
  <c r="A40" i="2"/>
  <c r="A41" i="2"/>
  <c r="A43" i="2"/>
  <c r="E64" i="2"/>
  <c r="A118" i="2"/>
  <c r="D146" i="2"/>
  <c r="E146" i="2" s="1"/>
  <c r="D147" i="2"/>
  <c r="E147" i="2" s="1"/>
  <c r="D148" i="2"/>
  <c r="E148" i="2" s="1"/>
  <c r="D149" i="2"/>
  <c r="E149" i="2" s="1"/>
  <c r="E150" i="2"/>
  <c r="E228" i="2"/>
  <c r="E197" i="2"/>
  <c r="E196" i="2"/>
  <c r="E241" i="2"/>
  <c r="D152" i="2" l="1"/>
  <c r="D231" i="2"/>
  <c r="E231" i="2" s="1"/>
  <c r="D232" i="2" s="1"/>
  <c r="E232" i="2" s="1"/>
  <c r="F233" i="2" s="1"/>
  <c r="E39" i="2" s="1"/>
  <c r="D166" i="2"/>
  <c r="E166" i="2" s="1"/>
  <c r="F243" i="2"/>
  <c r="F245" i="2" s="1"/>
  <c r="E40" i="2" s="1"/>
  <c r="D83" i="2"/>
  <c r="E83" i="2" s="1"/>
  <c r="E84" i="2" s="1"/>
  <c r="C27" i="8"/>
  <c r="G28" i="5"/>
  <c r="C39" i="5"/>
  <c r="E37" i="5"/>
  <c r="D37" i="5" s="1"/>
  <c r="D38" i="5" s="1"/>
  <c r="C38" i="5" s="1"/>
  <c r="C24" i="8" s="1"/>
  <c r="C32" i="8" s="1"/>
  <c r="E92" i="2"/>
  <c r="C215" i="2"/>
  <c r="E215" i="2" s="1"/>
  <c r="F219" i="2" s="1"/>
  <c r="E112" i="2"/>
  <c r="E168" i="2"/>
  <c r="E111" i="2"/>
  <c r="E52" i="2"/>
  <c r="E117" i="2"/>
  <c r="E105" i="2"/>
  <c r="E184" i="2"/>
  <c r="E118" i="2"/>
  <c r="D68" i="2"/>
  <c r="E68" i="2" s="1"/>
  <c r="E69" i="2" s="1"/>
  <c r="D70" i="2" s="1"/>
  <c r="C223" i="2"/>
  <c r="E223" i="2" s="1"/>
  <c r="F224" i="2" s="1"/>
  <c r="E38" i="2" s="1"/>
  <c r="E250" i="2"/>
  <c r="E251" i="2" s="1"/>
  <c r="F254" i="2" s="1"/>
  <c r="F256" i="2" s="1"/>
  <c r="E41" i="2" s="1"/>
  <c r="E179" i="2"/>
  <c r="E195" i="2"/>
  <c r="D198" i="2" s="1"/>
  <c r="E198" i="2" s="1"/>
  <c r="F199" i="2" s="1"/>
  <c r="E36" i="2" s="1"/>
  <c r="E106" i="2"/>
  <c r="D167" i="2" l="1"/>
  <c r="E167" i="2" s="1"/>
  <c r="E173" i="2" s="1"/>
  <c r="C182" i="2"/>
  <c r="D183" i="2" s="1"/>
  <c r="E183" i="2" s="1"/>
  <c r="C26" i="8"/>
  <c r="C25" i="8"/>
  <c r="K35" i="5"/>
  <c r="K36" i="5" s="1"/>
  <c r="K37" i="5" s="1"/>
  <c r="K38" i="5" s="1"/>
  <c r="K39" i="5" s="1"/>
  <c r="K40" i="5" s="1"/>
  <c r="K41" i="5" s="1"/>
  <c r="C16" i="8"/>
  <c r="C22" i="8" s="1"/>
  <c r="C31" i="8" s="1"/>
  <c r="C33" i="8" s="1"/>
  <c r="F37" i="5"/>
  <c r="G37" i="5" s="1"/>
  <c r="C37" i="5"/>
  <c r="F113" i="2"/>
  <c r="E29" i="2" s="1"/>
  <c r="F119" i="2"/>
  <c r="E152" i="2"/>
  <c r="F153" i="2" s="1"/>
  <c r="E171" i="2"/>
  <c r="D172" i="2" s="1"/>
  <c r="E172" i="2" s="1"/>
  <c r="F107" i="2"/>
  <c r="E28" i="2" s="1"/>
  <c r="E37" i="2"/>
  <c r="D85" i="2"/>
  <c r="C187" i="2" l="1"/>
  <c r="D188" i="2" s="1"/>
  <c r="E188" i="2" s="1"/>
  <c r="E189" i="2" s="1"/>
  <c r="D190" i="2" s="1"/>
  <c r="E190" i="2" s="1"/>
  <c r="F191" i="2" s="1"/>
  <c r="E30" i="2"/>
  <c r="C29" i="8"/>
  <c r="C34" i="8" s="1"/>
  <c r="G38" i="5"/>
  <c r="G32" i="5"/>
  <c r="D174" i="2"/>
  <c r="E174" i="2" s="1"/>
  <c r="F175" i="2" s="1"/>
  <c r="E34" i="2" s="1"/>
  <c r="F155" i="2"/>
  <c r="E31" i="2" s="1"/>
  <c r="E95" i="2"/>
  <c r="D96" i="2" s="1"/>
  <c r="E70" i="2" l="1"/>
  <c r="E71" i="2" s="1"/>
  <c r="D72" i="2" s="1"/>
  <c r="E72" i="2" s="1"/>
  <c r="F73" i="2" s="1"/>
  <c r="E25" i="2" s="1"/>
  <c r="E35" i="2"/>
  <c r="E33" i="2" s="1"/>
  <c r="F236" i="2"/>
  <c r="E32" i="2" s="1"/>
  <c r="E96" i="2" l="1"/>
  <c r="E97" i="2" s="1"/>
  <c r="D98" i="2" s="1"/>
  <c r="E98" i="2" s="1"/>
  <c r="F99" i="2" s="1"/>
  <c r="E85" i="2"/>
  <c r="E86" i="2" s="1"/>
  <c r="D87" i="2" l="1"/>
  <c r="E87" i="2" s="1"/>
  <c r="F88" i="2" s="1"/>
  <c r="E27" i="2"/>
  <c r="E26" i="2" l="1"/>
  <c r="F121" i="2"/>
  <c r="E24" i="2" s="1"/>
  <c r="F258" i="2" l="1"/>
  <c r="F265" i="2"/>
  <c r="D270" i="2" s="1"/>
  <c r="E270" i="2"/>
  <c r="F271" i="2" s="1"/>
  <c r="F273" i="2" s="1"/>
  <c r="E43" i="2" l="1"/>
  <c r="E44" i="2" s="1"/>
  <c r="F43" i="2" s="1"/>
  <c r="F276" i="2"/>
  <c r="B280" i="2" s="1"/>
  <c r="F26" i="2" l="1"/>
  <c r="F27" i="2"/>
  <c r="F40" i="2"/>
  <c r="F30" i="2"/>
  <c r="F36" i="2"/>
  <c r="F33" i="2"/>
  <c r="F29" i="2"/>
  <c r="F38" i="2"/>
  <c r="F31" i="2"/>
  <c r="F37" i="2"/>
  <c r="F35" i="2"/>
  <c r="F32" i="2"/>
  <c r="F41" i="2"/>
  <c r="F42" i="2"/>
  <c r="F28" i="2"/>
  <c r="F34" i="2"/>
  <c r="F39" i="2"/>
  <c r="F25" i="2"/>
  <c r="F24" i="2"/>
  <c r="F4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22" authorId="0" shapeId="0" xr:uid="{00000000-0006-0000-0000-000001000000}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4" authorId="0" shapeId="0" xr:uid="{00000000-0006-0000-0000-000003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65" authorId="0" shapeId="0" xr:uid="{00000000-0006-0000-0000-000004000000}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6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67" authorId="0" shapeId="0" xr:uid="{00000000-0006-0000-0000-000006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0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72" authorId="0" shapeId="0" xr:uid="{00000000-0006-0000-0000-000008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77" authorId="0" shapeId="0" xr:uid="{00000000-0006-0000-0000-000009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D78" authorId="0" shapeId="0" xr:uid="{00000000-0006-0000-0000-00000A000000}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C79" authorId="0" shapeId="0" xr:uid="{00000000-0006-0000-0000-00000B000000}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80" authorId="0" shapeId="0" xr:uid="{00000000-0006-0000-0000-00000C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81" authorId="0" shapeId="0" xr:uid="{00000000-0006-0000-0000-00000D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2" authorId="0" shapeId="0" xr:uid="{00000000-0006-0000-0000-00000E000000}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83" authorId="0" shapeId="0" xr:uid="{00000000-0006-0000-0000-00000F000000}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87" authorId="0" shapeId="0" xr:uid="{00000000-0006-0000-0000-000010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93" authorId="0" shapeId="0" xr:uid="{00000000-0006-0000-0000-000011000000}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94" authorId="0" shapeId="0" xr:uid="{00000000-0006-0000-0000-000012000000}">
      <text>
        <r>
          <rPr>
            <sz val="9"/>
            <color indexed="81"/>
            <rFont val="Tahoma"/>
            <family val="2"/>
          </rPr>
          <t>Informar o número de horas extras trabalhadas em horário noturno de segunda à sábado</t>
        </r>
      </text>
    </comment>
    <comment ref="C98" authorId="0" shapeId="0" xr:uid="{00000000-0006-0000-0000-000013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103" authorId="0" shapeId="0" xr:uid="{00000000-0006-0000-0000-000014000000}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104" authorId="0" shapeId="0" xr:uid="{00000000-0006-0000-0000-000015000000}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105" authorId="0" shapeId="0" xr:uid="{00000000-0006-0000-0000-000016000000}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106" authorId="0" shapeId="0" xr:uid="{00000000-0006-0000-0000-000017000000}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D111" authorId="0" shapeId="0" xr:uid="{00000000-0006-0000-0000-000018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12" authorId="0" shapeId="0" xr:uid="{00000000-0006-0000-0000-000019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17" authorId="0" shapeId="0" xr:uid="{00000000-0006-0000-0000-00001A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D118" authorId="0" shapeId="0" xr:uid="{00000000-0006-0000-0000-00001B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C128" authorId="0" shapeId="0" xr:uid="{00000000-0006-0000-0000-00001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28" authorId="0" shapeId="0" xr:uid="{00000000-0006-0000-0000-00001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29" authorId="0" shapeId="0" xr:uid="{00000000-0006-0000-0000-00001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29" authorId="0" shapeId="0" xr:uid="{00000000-0006-0000-0000-00001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0" authorId="0" shapeId="0" xr:uid="{00000000-0006-0000-0000-00002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0" authorId="0" shapeId="0" xr:uid="{00000000-0006-0000-0000-000021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1" authorId="0" shapeId="0" xr:uid="{00000000-0006-0000-0000-00002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1" authorId="0" shapeId="0" xr:uid="{00000000-0006-0000-0000-000023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2" authorId="0" shapeId="0" xr:uid="{00000000-0006-0000-0000-00002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2" authorId="0" shapeId="0" xr:uid="{00000000-0006-0000-0000-000025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3" authorId="0" shapeId="0" xr:uid="{00000000-0006-0000-0000-000026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3" authorId="0" shapeId="0" xr:uid="{00000000-0006-0000-0000-000027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4" authorId="0" shapeId="0" xr:uid="{00000000-0006-0000-0000-000028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4" authorId="0" shapeId="0" xr:uid="{00000000-0006-0000-0000-000029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5" authorId="0" shapeId="0" xr:uid="{00000000-0006-0000-0000-00002A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5" authorId="0" shapeId="0" xr:uid="{00000000-0006-0000-0000-00002B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6" authorId="0" shapeId="0" xr:uid="{00000000-0006-0000-0000-00002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6" authorId="0" shapeId="0" xr:uid="{00000000-0006-0000-0000-00002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7" authorId="0" shapeId="0" xr:uid="{00000000-0006-0000-0000-00002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7" authorId="0" shapeId="0" xr:uid="{00000000-0006-0000-0000-00002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5" authorId="0" shapeId="0" xr:uid="{00000000-0006-0000-0000-00003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46" authorId="0" shapeId="0" xr:uid="{00000000-0006-0000-0000-000031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47" authorId="0" shapeId="0" xr:uid="{00000000-0006-0000-0000-00003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48" authorId="0" shapeId="0" xr:uid="{00000000-0006-0000-0000-000033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49" authorId="0" shapeId="0" xr:uid="{00000000-0006-0000-0000-00003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50" authorId="0" shapeId="0" xr:uid="{00000000-0006-0000-0000-000035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63" authorId="0" shapeId="0" xr:uid="{00000000-0006-0000-0000-000036000000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64" authorId="0" shapeId="0" xr:uid="{00000000-0006-0000-0000-000037000000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65" authorId="0" shapeId="0" xr:uid="{00000000-0006-0000-0000-000038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66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8" authorId="0" shapeId="0" xr:uid="{00000000-0006-0000-0000-00003A000000}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C169" authorId="0" shapeId="0" xr:uid="{00000000-0006-0000-0000-00003B000000}">
      <text>
        <r>
          <rPr>
            <sz val="9"/>
            <color indexed="81"/>
            <rFont val="Tahoma"/>
            <family val="2"/>
          </rPr>
          <t>Informar a vida útil estimada para o compactador, em anos</t>
        </r>
      </text>
    </comment>
    <comment ref="C170" authorId="0" shapeId="0" xr:uid="{00000000-0006-0000-0000-00003C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C171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4" authorId="0" shapeId="0" xr:uid="{00000000-0006-0000-0000-00003E000000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180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96" authorId="0" shapeId="0" xr:uid="{00000000-0006-0000-0000-000040000000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197" authorId="0" shapeId="0" xr:uid="{00000000-0006-0000-0000-000041000000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
</t>
        </r>
      </text>
    </comment>
    <comment ref="B203" authorId="0" shapeId="0" xr:uid="{00000000-0006-0000-0000-000042000000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206" authorId="0" shapeId="0" xr:uid="{00000000-0006-0000-0000-000043000000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06" authorId="0" shapeId="0" xr:uid="{00000000-0006-0000-0000-000044000000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08" authorId="0" shapeId="0" xr:uid="{194EAE8A-94DB-43FA-87C8-D65683E6BD8F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08" authorId="0" shapeId="0" xr:uid="{429ED29F-8377-489B-B08E-9FB0150BBF53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10" authorId="0" shapeId="0" xr:uid="{00000000-0006-0000-0000-000045000000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210" authorId="0" shapeId="0" xr:uid="{00000000-0006-0000-0000-000046000000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212" authorId="0" shapeId="0" xr:uid="{08481E41-7BAE-476D-AE1D-C1AFD195290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2" authorId="0" shapeId="0" xr:uid="{91D1241D-AC01-449F-8760-F21382DBBA46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14" authorId="0" shapeId="0" xr:uid="{00000000-0006-0000-0000-00004700000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4" authorId="0" shapeId="0" xr:uid="{00000000-0006-0000-0000-000048000000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16" authorId="0" shapeId="0" xr:uid="{BD85DAB3-00F1-484D-8065-9846FFC52F9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6" authorId="0" shapeId="0" xr:uid="{03062519-ABB5-42E7-9C83-75310278B7ED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D223" authorId="0" shapeId="0" xr:uid="{00000000-0006-0000-0000-000049000000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228" authorId="0" shapeId="0" xr:uid="{00000000-0006-0000-0000-00004A000000}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228" authorId="0" shapeId="0" xr:uid="{00000000-0006-0000-0000-00004B000000}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229" authorId="0" shapeId="0" xr:uid="{00000000-0006-0000-0000-00004C000000}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230" authorId="0" shapeId="0" xr:uid="{00000000-0006-0000-0000-00004D000000}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231" authorId="0" shapeId="0" xr:uid="{00000000-0006-0000-0000-00004E000000}">
      <text>
        <r>
          <rPr>
            <sz val="9"/>
            <color indexed="81"/>
            <rFont val="Tahoma"/>
            <family val="2"/>
          </rPr>
          <t xml:space="preserve">Informar a durabilidade média dos pneus considerando as recapagens, em km
</t>
        </r>
      </text>
    </comment>
    <comment ref="C241" authorId="0" shapeId="0" xr:uid="{00000000-0006-0000-0000-00004F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41" authorId="0" shapeId="0" xr:uid="{00000000-0006-0000-0000-000050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42" authorId="0" shapeId="0" xr:uid="{0776D56A-33A5-4588-AAB0-D70AC3ECEE8A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42" authorId="0" shapeId="0" xr:uid="{67B0873C-0F25-4D89-8640-3EF7EA939A4B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A247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50" authorId="0" shapeId="0" xr:uid="{00000000-0006-0000-0000-00005A000000}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</t>
        </r>
      </text>
    </comment>
    <comment ref="D252" authorId="0" shapeId="0" xr:uid="{00000000-0006-0000-0000-00005B000000}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C270" authorId="0" shapeId="0" xr:uid="{00000000-0006-0000-0000-00005C000000}">
      <text>
        <r>
          <rPr>
            <sz val="9"/>
            <color indexed="81"/>
            <rFont val="Tahoma"/>
            <family val="2"/>
          </rPr>
          <t>Preencher a aba 4.BDI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Mesquita</author>
  </authors>
  <commentList>
    <comment ref="G3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Mesquita:</t>
        </r>
        <r>
          <rPr>
            <sz val="9"/>
            <color indexed="81"/>
            <rFont val="Tahoma"/>
            <family val="2"/>
          </rPr>
          <t xml:space="preserve">
Criar um tipo de arredondamento.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C1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Informar o valor anual da taxa SELIC</t>
        </r>
      </text>
    </comment>
    <comment ref="C14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4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<sst xmlns="http://schemas.openxmlformats.org/spreadsheetml/2006/main" count="509" uniqueCount="286">
  <si>
    <t>hora</t>
  </si>
  <si>
    <t>Adicional de Insalubridade</t>
  </si>
  <si>
    <t>%</t>
  </si>
  <si>
    <t>Soma</t>
  </si>
  <si>
    <t>Encargos Sociais</t>
  </si>
  <si>
    <t>Total do Efetivo</t>
  </si>
  <si>
    <t>homem</t>
  </si>
  <si>
    <t>mês</t>
  </si>
  <si>
    <t>vale</t>
  </si>
  <si>
    <t>unidade</t>
  </si>
  <si>
    <t>Colete reflexivo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</si>
  <si>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</si>
  <si>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</si>
  <si>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</si>
  <si>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</si>
  <si>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</si>
  <si>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</si>
  <si>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</si>
  <si>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</si>
  <si>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</si>
  <si>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hidráulico</t>
  </si>
  <si>
    <t>km/jogo</t>
  </si>
  <si>
    <t>Calça</t>
  </si>
  <si>
    <t>Camiseta</t>
  </si>
  <si>
    <t>Boné</t>
  </si>
  <si>
    <t>Luva de proteção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</si>
  <si>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</si>
  <si>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</si>
  <si>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</si>
  <si>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</si>
  <si>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</si>
  <si>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</si>
  <si>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</si>
  <si>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</si>
  <si>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</si>
  <si>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</si>
  <si>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</si>
  <si>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2. Uniformes e Equipamentos de Proteção Individual</t>
  </si>
  <si>
    <t>3.1.1. Depreciação</t>
  </si>
  <si>
    <t>1. Mão-de-obra</t>
  </si>
  <si>
    <t>par</t>
  </si>
  <si>
    <t>frasco 120g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</si>
  <si>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</si>
  <si>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</si>
  <si>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</si>
  <si>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</si>
  <si>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</si>
  <si>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</si>
  <si>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cj</t>
  </si>
  <si>
    <t>Total de mão-de-obra (postos de trabalho)</t>
  </si>
  <si>
    <t>Custo mensal com implantação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</si>
  <si>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</si>
  <si>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</si>
  <si>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</si>
  <si>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</si>
  <si>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</si>
  <si>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</si>
  <si>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</si>
  <si>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</si>
  <si>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Custo de recapagem</t>
  </si>
  <si>
    <t>Recipiente térmico para água (5L)</t>
  </si>
  <si>
    <t>Total por Coletor</t>
  </si>
  <si>
    <t>4. Ferramentas e Materiais de Consumo</t>
  </si>
  <si>
    <t>5. Monitoramento da Frota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</si>
  <si>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</si>
  <si>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</si>
  <si>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</si>
  <si>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</si>
  <si>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</si>
  <si>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</si>
  <si>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</si>
  <si>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</si>
  <si>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</si>
  <si>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</si>
  <si>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</si>
  <si>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</si>
  <si>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</si>
  <si>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</si>
  <si>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Vale Transporte</t>
  </si>
  <si>
    <t>Dias Trabalhados por mês</t>
  </si>
  <si>
    <t>dia</t>
  </si>
  <si>
    <t>Custo Mensal com Mão-de-obra (R$/mês)</t>
  </si>
  <si>
    <t>Meia de algodão com cano alto</t>
  </si>
  <si>
    <t>Quantitativos</t>
  </si>
  <si>
    <t>Média</t>
  </si>
  <si>
    <t>Vida útil do chassis</t>
  </si>
  <si>
    <t>anos</t>
  </si>
  <si>
    <t>Depreciação do compactador</t>
  </si>
  <si>
    <t>Depreciação do chassis</t>
  </si>
  <si>
    <t>i = taxa de juros do mercado (sugere-se adotar a taxa SELIC)</t>
  </si>
  <si>
    <t>n = vida útil do bem em anos</t>
  </si>
  <si>
    <t>Custo do chassis</t>
  </si>
  <si>
    <t>3.1.2. Remuneração do Capital</t>
  </si>
  <si>
    <t>Im = investimento médio</t>
  </si>
  <si>
    <t>Investimento médio total do chassis</t>
  </si>
  <si>
    <t>Remuneração mensal de capital do chassis</t>
  </si>
  <si>
    <t>Custo de manutenção dos caminhões</t>
  </si>
  <si>
    <t>Quilometragem mensal</t>
  </si>
  <si>
    <t>R$/km rodado</t>
  </si>
  <si>
    <t>Número de recapagens por pneu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</si>
  <si>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</si>
  <si>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</si>
  <si>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</si>
  <si>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</si>
  <si>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</si>
  <si>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</si>
  <si>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</si>
  <si>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</si>
  <si>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</si>
  <si>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</si>
  <si>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</si>
  <si>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</si>
  <si>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Rotatividade</t>
  </si>
  <si>
    <t>Demitidos s/ Justa Causa em relação ao Estoque Médio</t>
  </si>
  <si>
    <t>Dias ano</t>
  </si>
  <si>
    <t>Estoque Médio</t>
  </si>
  <si>
    <t>Multa FGTS</t>
  </si>
  <si>
    <t>Fração de tempo para gozo férias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</si>
  <si>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</si>
  <si>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</si>
  <si>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</si>
  <si>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</si>
  <si>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</si>
  <si>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</si>
  <si>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</si>
  <si>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</si>
  <si>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</si>
  <si>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</si>
  <si>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</si>
  <si>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</si>
  <si>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</si>
  <si>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</si>
  <si>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</si>
  <si>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</si>
  <si>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</si>
  <si>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</si>
  <si>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</si>
  <si>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</si>
  <si>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</si>
  <si>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</si>
  <si>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</si>
  <si>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</si>
  <si>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</si>
  <si>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</si>
  <si>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</si>
  <si>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</si>
  <si>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</si>
  <si>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</si>
  <si>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</si>
  <si>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</si>
  <si>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</si>
  <si>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</si>
  <si>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</si>
  <si>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</si>
  <si>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</si>
  <si>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</si>
  <si>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</si>
  <si>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</si>
  <si>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</si>
  <si>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</si>
  <si>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</si>
  <si>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</si>
  <si>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</si>
  <si>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</si>
  <si>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</si>
  <si>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Grupo A sobre aviso prévio indenizado</t>
  </si>
  <si>
    <t>D</t>
  </si>
  <si>
    <t>SOMA GRUPO D</t>
  </si>
  <si>
    <t>SOMA (A+B+C+D)</t>
  </si>
  <si>
    <t>1° Quartil</t>
  </si>
  <si>
    <t>Médio</t>
  </si>
  <si>
    <t>3° Quartil</t>
  </si>
  <si>
    <t>SELIC</t>
  </si>
  <si>
    <t>DU</t>
  </si>
  <si>
    <t>Licenciamento e Seguro obrigatório</t>
  </si>
  <si>
    <t>Fator de utilização</t>
  </si>
  <si>
    <t>Fator de utilização (FU)</t>
  </si>
  <si>
    <t>2.1. Uniformes e EPIs para Coletor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</si>
  <si>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</si>
  <si>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</si>
  <si>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</si>
  <si>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</si>
  <si>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</si>
  <si>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Rio Grande do Sul  - Coleta de Resíduos Não-Perigosos - CNAE 38114</t>
  </si>
  <si>
    <t xml:space="preserve">1. Acesse o Portal do CAGED no link http://bi.mte.gov.br/cagedestabelecimento/pages/consulta.xhtml </t>
  </si>
  <si>
    <t>3. Nível Geográfico: selecione "Unidade da Federação" e marque a opção "Rio Grande do Sul"</t>
  </si>
  <si>
    <t>4. Nível Setorial: selecione "Classe de atividade econômica segundo a classificação CNAE – versão 2.0 (669 categorias)" e marque a opção "38114 – Coleta de Resíduos Não-Perigosos"</t>
  </si>
  <si>
    <t>5. Clique em Gerar Relatório</t>
  </si>
  <si>
    <t>Para preencher esta planilha siga os passos 1 a 5:</t>
  </si>
  <si>
    <t>Idade do veículo (ano)</t>
  </si>
  <si>
    <t>Idade do veículo</t>
  </si>
  <si>
    <t>Valor do veículo proposto (V0)</t>
  </si>
  <si>
    <t>Taxa de juros anual nominal</t>
  </si>
  <si>
    <t>Piso da categoria</t>
  </si>
  <si>
    <t>Base de cálculo da Insalubridade</t>
  </si>
  <si>
    <t>Descanso Semanal Remunerado (DSR) - hora extra</t>
  </si>
  <si>
    <t>C2</t>
  </si>
  <si>
    <t>B3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</si>
  <si>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</si>
  <si>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</si>
  <si>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</si>
  <si>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</si>
  <si>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</si>
  <si>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</si>
  <si>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</si>
  <si>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3. CAGED</t>
  </si>
  <si>
    <t>4. Composição do BDI - Benefícios e Despesas Indiretas</t>
  </si>
  <si>
    <t xml:space="preserve">2. Composição dos Encargos Sociais 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</si>
  <si>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</si>
  <si>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</si>
  <si>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</si>
  <si>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</si>
  <si>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</si>
  <si>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</si>
  <si>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</si>
  <si>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de óleo hidráulico / 1.000 km</t>
  </si>
  <si>
    <t>PREÇO TOTAL MENSAL COM A COLETA</t>
  </si>
  <si>
    <t>CUSTO MENSAL COM BDI (R$/mês)</t>
  </si>
  <si>
    <t>CÁLCULO DAS VERBAS INDENIZATÓRIAS DOS EMPREGADOS NO SETOR DE COLETA DE RSU</t>
  </si>
  <si>
    <t>6. Preencha as células em amarelo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</si>
  <si>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</si>
  <si>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</si>
  <si>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</si>
  <si>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</si>
  <si>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</si>
  <si>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</si>
  <si>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1. Esta planilha é somente um modelo-base e deve ser ajustada conforme cada caso concreto.</t>
  </si>
  <si>
    <t>Fórmula de cálculo da remuneração de capital:</t>
  </si>
  <si>
    <t>Total por Motorista</t>
  </si>
  <si>
    <t>2. Na Especificação da Consulta, selecione "Demonstrativo por período" e informe as competências relativas ao período Inicial e Final (últimos 12 meses)</t>
  </si>
  <si>
    <t>Durabilidade (meses)</t>
  </si>
  <si>
    <t>Custo com consumos/km rodado</t>
  </si>
  <si>
    <t>Consumo</t>
  </si>
  <si>
    <t>Total por veículo</t>
  </si>
  <si>
    <t>Total da frota</t>
  </si>
  <si>
    <t>Variação Emprego Absoluta de 01-09-2016 a 31-08-2017</t>
  </si>
  <si>
    <t>Botina de segurança</t>
  </si>
  <si>
    <r>
      <t>Custo jg. compl. + 2</t>
    </r>
    <r>
      <rPr>
        <sz val="10"/>
        <rFont val="Arial"/>
        <family val="2"/>
      </rPr>
      <t xml:space="preserve"> recap./ km rodado</t>
    </r>
  </si>
  <si>
    <t>Estoque recuperado final do Período 31-03-2018</t>
  </si>
  <si>
    <t>Estoque recuperado início do Período 01-03-2017</t>
  </si>
  <si>
    <t>Coletor</t>
  </si>
  <si>
    <t>1.4. Vale Transporte</t>
  </si>
  <si>
    <t>1.5. Vale-refeição (diário)</t>
  </si>
  <si>
    <t>1.6. Auxílio Alimentação (mensal)</t>
  </si>
  <si>
    <t>Observações:</t>
  </si>
  <si>
    <t xml:space="preserve">Esta planilha é somente um modelo-base. </t>
  </si>
  <si>
    <t>Salário mínimo nacional</t>
  </si>
  <si>
    <t>*Piso da Categoria (2)</t>
  </si>
  <si>
    <r>
      <rPr>
        <b/>
        <sz val="10"/>
        <rFont val="Arial"/>
        <family val="2"/>
      </rPr>
      <t xml:space="preserve">Fontes consultadas: </t>
    </r>
    <r>
      <rPr>
        <sz val="10"/>
        <rFont val="Arial"/>
        <family val="2"/>
      </rPr>
      <t xml:space="preserve">
Orientação técnica para os serviços de coleta de resíduos sólidos domiciliares (Projeto, Contratação e Fiscalização) 1ª Edição 2017 – Tribunal de Contas do Estado do Rio Grande do Sul – TCE; Planilha de Composição de Custos para serviços de coleta de resíduos sólidos domiciliares - Tribunal de Contas do Estado do Rio Grande do Sul – TCE; Planilha para dimensionamento de frota - FUNASA; Convenção Coletiva de Trabalho 2018/2018 – Sindicato das Empresas de Asseio e Conservação do Estado do Rio Grande do Sul e Sindicato dos Trabalhadores das Empresas de Asseio, Conservação, Zeladoria, Reciclagem de Lixo, Limpeza Urbana, Ambiental e de Áreas Verdes e empresas de Serviços Terceirizados; Convenção Coletiva 2017-2019-Passo Fundo/RS - Sindicato das Empresas de Transportes de Carga e Logística no Estado do Rio Grande do Sul - SETCERGS; Acordo Coletivo de Trabalho 2017-2018 - Sindicatos do Engenheiros do Rio Grande do Sul – CREA/RS; IBGE; Banco Central do Brasil; CAGED; CEEE; Tabela FIPE; NR-6 Equipamentos de Proteção Individual; Google Mapas; Goolzoom; Atas de Registros Municipais referentes ao ano de 2018; Pedidos municipais referentes ao ano de 2018; Relatórios de pesagens de resíduos do Aterro Sanitário com contrato vigente, referentes aos anos de 2016, 2017 e 2018; e Orçamentos em mercado local, sites e empresas especializadas nas diversas áreas que compõem os serviços a serem contratados.
</t>
    </r>
  </si>
  <si>
    <t>7. Benefícios e Despesas Indiretas - BDI</t>
  </si>
  <si>
    <t>6. Destinação Final</t>
  </si>
  <si>
    <t>Custo da graxa/1.000km rodados</t>
  </si>
  <si>
    <t>Custo mensal com graxa</t>
  </si>
  <si>
    <t xml:space="preserve">Higienização de uniformes </t>
  </si>
  <si>
    <t>R$ mensal</t>
  </si>
  <si>
    <t>Tenis de EVA para corrida</t>
  </si>
  <si>
    <t>Higienização de uniformes EPIs</t>
  </si>
  <si>
    <t xml:space="preserve"> Transporte dos Resíduos Sólidos Domiciliares Orgânico</t>
  </si>
  <si>
    <t>1.2  Operador primeiro e segundo turno</t>
  </si>
  <si>
    <t>3.1 Veiculo Carretas</t>
  </si>
  <si>
    <t>Auxilhar</t>
  </si>
  <si>
    <t>3.1 CARRETAS 55 M³</t>
  </si>
  <si>
    <t>Custo de aquisição do chassis cavalos</t>
  </si>
  <si>
    <t>6.</t>
  </si>
  <si>
    <t>Remuneração mensal de capital da casamba</t>
  </si>
  <si>
    <t>Custo do jogo de pneus 295/80 R22,5</t>
  </si>
  <si>
    <t>Publicidade (adesivo veiculos)</t>
  </si>
  <si>
    <t xml:space="preserve">Custo De caçamba </t>
  </si>
  <si>
    <t>Valor do caçamba</t>
  </si>
  <si>
    <t xml:space="preserve">caçamba </t>
  </si>
  <si>
    <t>Custo de aquisição da caçamba basculante</t>
  </si>
  <si>
    <t>Vida útil  da caçamba basculante</t>
  </si>
  <si>
    <t>Idade  da caçamba basculante</t>
  </si>
  <si>
    <t>1.1. Auxiliar de serviços gerais primeiro e segundo turno</t>
  </si>
  <si>
    <t>1.3  Motorista  carreta</t>
  </si>
  <si>
    <t xml:space="preserve">PREÇO POR TONELADA TRANSPORTADA  </t>
  </si>
  <si>
    <t>1.3 Motorista de carreta</t>
  </si>
  <si>
    <t>Motorista</t>
  </si>
  <si>
    <t>2.2. Uniformes e EPIs para Motorista</t>
  </si>
  <si>
    <t>Custo mensal com ARLA 32</t>
  </si>
  <si>
    <t>Custo de ARLA 32 / km rodado</t>
  </si>
  <si>
    <t>Custo de óleo da transmissão/ 1.000 km</t>
  </si>
  <si>
    <t>Custo mensal com óleo da transmissão</t>
  </si>
  <si>
    <t>Quantidade de toneladas transportadas previstas</t>
  </si>
  <si>
    <t>Depreciação mensal cavalo trator</t>
  </si>
  <si>
    <t>Depreciação mensal da caçamba basculante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</si>
</sst>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99">
    <xf numFmtId="0" fontId="0" fillId="0" borderId="0" xfId="0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5" fontId="6" fillId="0" borderId="2" xfId="3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5" fontId="6" fillId="0" borderId="1" xfId="3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3" applyFont="1" applyAlignment="1">
      <alignment horizontal="center" vertical="center"/>
    </xf>
    <xf numFmtId="165" fontId="3" fillId="2" borderId="4" xfId="3" applyFont="1" applyFill="1" applyBorder="1" applyAlignment="1">
      <alignment horizontal="center" vertical="center"/>
    </xf>
    <xf numFmtId="165" fontId="3" fillId="2" borderId="4" xfId="3" applyFont="1" applyFill="1" applyBorder="1" applyAlignment="1">
      <alignment vertical="center"/>
    </xf>
    <xf numFmtId="165" fontId="3" fillId="0" borderId="0" xfId="3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5" fontId="3" fillId="0" borderId="6" xfId="3" applyFont="1" applyBorder="1" applyAlignment="1">
      <alignment vertical="center"/>
    </xf>
    <xf numFmtId="165" fontId="3" fillId="0" borderId="7" xfId="3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5" fontId="6" fillId="0" borderId="6" xfId="3" applyFont="1" applyBorder="1" applyAlignment="1">
      <alignment vertical="center"/>
    </xf>
    <xf numFmtId="165" fontId="6" fillId="0" borderId="7" xfId="3" applyFont="1" applyBorder="1" applyAlignment="1">
      <alignment vertical="center"/>
    </xf>
    <xf numFmtId="165" fontId="3" fillId="0" borderId="0" xfId="3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5" fontId="5" fillId="0" borderId="0" xfId="3" applyFont="1" applyAlignment="1">
      <alignment vertical="center"/>
    </xf>
    <xf numFmtId="166" fontId="6" fillId="0" borderId="1" xfId="3" applyNumberFormat="1" applyFont="1" applyBorder="1" applyAlignment="1">
      <alignment vertical="center"/>
    </xf>
    <xf numFmtId="165" fontId="6" fillId="0" borderId="0" xfId="3" applyFont="1"/>
    <xf numFmtId="165" fontId="0" fillId="0" borderId="9" xfId="3" applyFont="1" applyBorder="1" applyAlignment="1">
      <alignment vertical="center"/>
    </xf>
    <xf numFmtId="165" fontId="3" fillId="0" borderId="10" xfId="3" applyFont="1" applyBorder="1" applyAlignment="1">
      <alignment horizontal="center" vertical="center"/>
    </xf>
    <xf numFmtId="165" fontId="3" fillId="0" borderId="5" xfId="3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centerContinuous" vertical="center"/>
    </xf>
    <xf numFmtId="165" fontId="0" fillId="0" borderId="8" xfId="0" applyNumberFormat="1" applyBorder="1" applyAlignment="1">
      <alignment vertical="center"/>
    </xf>
    <xf numFmtId="4" fontId="0" fillId="0" borderId="8" xfId="0" applyNumberFormat="1" applyBorder="1" applyAlignment="1">
      <alignment horizontal="centerContinuous" vertical="center"/>
    </xf>
    <xf numFmtId="165" fontId="0" fillId="0" borderId="8" xfId="3" applyFont="1" applyBorder="1" applyAlignment="1">
      <alignment vertical="center"/>
    </xf>
    <xf numFmtId="165" fontId="3" fillId="0" borderId="11" xfId="3" applyFont="1" applyBorder="1" applyAlignment="1">
      <alignment horizontal="right" vertical="center"/>
    </xf>
    <xf numFmtId="165" fontId="0" fillId="0" borderId="12" xfId="3" applyFont="1" applyBorder="1" applyAlignment="1">
      <alignment vertical="center"/>
    </xf>
    <xf numFmtId="165" fontId="6" fillId="0" borderId="1" xfId="3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3" applyFont="1" applyAlignment="1">
      <alignment vertical="center"/>
    </xf>
    <xf numFmtId="10" fontId="0" fillId="0" borderId="13" xfId="2" applyNumberFormat="1" applyFont="1" applyBorder="1" applyAlignment="1">
      <alignment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165" fontId="13" fillId="2" borderId="15" xfId="3" applyFont="1" applyFill="1" applyBorder="1" applyAlignment="1">
      <alignment horizontal="center" vertical="center"/>
    </xf>
    <xf numFmtId="165" fontId="13" fillId="2" borderId="16" xfId="3" applyFont="1" applyFill="1" applyBorder="1" applyAlignment="1">
      <alignment horizontal="center" vertical="center"/>
    </xf>
    <xf numFmtId="165" fontId="3" fillId="0" borderId="17" xfId="3" applyFont="1" applyBorder="1" applyAlignment="1">
      <alignment horizontal="center" vertical="center"/>
    </xf>
    <xf numFmtId="165" fontId="1" fillId="0" borderId="12" xfId="3" applyBorder="1" applyAlignment="1">
      <alignment horizontal="left" vertical="center"/>
    </xf>
    <xf numFmtId="165" fontId="6" fillId="0" borderId="8" xfId="3" applyFont="1" applyBorder="1" applyAlignment="1">
      <alignment vertical="center"/>
    </xf>
    <xf numFmtId="165" fontId="6" fillId="0" borderId="12" xfId="3" applyFont="1" applyBorder="1" applyAlignment="1">
      <alignment vertical="center"/>
    </xf>
    <xf numFmtId="166" fontId="6" fillId="0" borderId="0" xfId="3" applyNumberFormat="1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8" xfId="3" applyNumberFormat="1" applyFont="1" applyBorder="1" applyAlignment="1">
      <alignment horizontal="center" vertical="center"/>
    </xf>
    <xf numFmtId="165" fontId="3" fillId="0" borderId="26" xfId="3" applyFont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165" fontId="6" fillId="0" borderId="17" xfId="3" applyFont="1" applyBorder="1" applyAlignment="1">
      <alignment vertical="center"/>
    </xf>
    <xf numFmtId="165" fontId="6" fillId="0" borderId="9" xfId="3" applyFont="1" applyBorder="1" applyAlignment="1">
      <alignment vertical="center"/>
    </xf>
    <xf numFmtId="0" fontId="0" fillId="0" borderId="9" xfId="0" applyBorder="1" applyAlignment="1">
      <alignment vertical="center"/>
    </xf>
    <xf numFmtId="1" fontId="6" fillId="0" borderId="10" xfId="3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7" xfId="0" applyBorder="1" applyAlignment="1">
      <alignment vertical="center"/>
    </xf>
    <xf numFmtId="1" fontId="3" fillId="0" borderId="29" xfId="3" applyNumberFormat="1" applyFont="1" applyBorder="1" applyAlignment="1">
      <alignment horizontal="center" vertical="center"/>
    </xf>
    <xf numFmtId="165" fontId="12" fillId="0" borderId="1" xfId="3" applyFont="1" applyBorder="1" applyAlignment="1">
      <alignment horizontal="center" vertical="center"/>
    </xf>
    <xf numFmtId="165" fontId="11" fillId="0" borderId="0" xfId="3" applyFont="1" applyAlignment="1">
      <alignment vertical="center"/>
    </xf>
    <xf numFmtId="43" fontId="6" fillId="0" borderId="0" xfId="0" applyNumberFormat="1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165" fontId="6" fillId="3" borderId="2" xfId="3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65" fontId="6" fillId="3" borderId="1" xfId="3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165" fontId="6" fillId="3" borderId="0" xfId="3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166" fontId="6" fillId="0" borderId="1" xfId="3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13" fontId="6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0" borderId="1" xfId="3" applyFont="1" applyBorder="1" applyAlignment="1">
      <alignment horizontal="center" vertical="center"/>
    </xf>
    <xf numFmtId="0" fontId="8" fillId="0" borderId="0" xfId="1" applyAlignment="1" applyProtection="1">
      <alignment vertical="center"/>
    </xf>
    <xf numFmtId="0" fontId="3" fillId="0" borderId="0" xfId="0" applyFont="1"/>
    <xf numFmtId="3" fontId="6" fillId="3" borderId="1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5" fontId="3" fillId="0" borderId="33" xfId="3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3" xfId="3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6" fillId="0" borderId="0" xfId="3" applyFont="1" applyAlignment="1">
      <alignment horizontal="right" vertical="center"/>
    </xf>
    <xf numFmtId="165" fontId="3" fillId="2" borderId="7" xfId="3" applyFont="1" applyFill="1" applyBorder="1" applyAlignment="1">
      <alignment horizontal="center" vertical="center"/>
    </xf>
    <xf numFmtId="165" fontId="3" fillId="0" borderId="12" xfId="3" applyFont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3" fillId="0" borderId="8" xfId="3" applyFont="1" applyBorder="1" applyAlignment="1">
      <alignment vertical="center"/>
    </xf>
    <xf numFmtId="10" fontId="3" fillId="0" borderId="13" xfId="2" applyNumberFormat="1" applyFont="1" applyBorder="1" applyAlignment="1">
      <alignment vertical="center"/>
    </xf>
    <xf numFmtId="165" fontId="3" fillId="0" borderId="36" xfId="3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65" fontId="6" fillId="0" borderId="37" xfId="3" applyFont="1" applyBorder="1" applyAlignment="1">
      <alignment vertical="center"/>
    </xf>
    <xf numFmtId="165" fontId="6" fillId="0" borderId="39" xfId="3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1" fontId="6" fillId="0" borderId="35" xfId="3" applyNumberFormat="1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Continuous" vertical="center"/>
    </xf>
    <xf numFmtId="4" fontId="6" fillId="0" borderId="0" xfId="0" applyNumberFormat="1" applyFont="1" applyAlignment="1">
      <alignment vertical="center"/>
    </xf>
    <xf numFmtId="165" fontId="6" fillId="6" borderId="1" xfId="3" applyFont="1" applyFill="1" applyBorder="1" applyAlignment="1">
      <alignment horizontal="center" vertical="center"/>
    </xf>
    <xf numFmtId="165" fontId="6" fillId="6" borderId="1" xfId="3" applyFont="1" applyFill="1" applyBorder="1" applyAlignment="1">
      <alignment vertical="center"/>
    </xf>
    <xf numFmtId="9" fontId="3" fillId="0" borderId="16" xfId="2" applyFont="1" applyBorder="1" applyAlignment="1">
      <alignment vertical="center"/>
    </xf>
    <xf numFmtId="10" fontId="6" fillId="0" borderId="13" xfId="2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0" fillId="0" borderId="36" xfId="0" applyBorder="1" applyAlignment="1">
      <alignment vertical="center"/>
    </xf>
    <xf numFmtId="165" fontId="0" fillId="0" borderId="37" xfId="3" applyFont="1" applyBorder="1" applyAlignment="1">
      <alignment vertical="center"/>
    </xf>
    <xf numFmtId="166" fontId="3" fillId="0" borderId="0" xfId="3" applyNumberFormat="1" applyFont="1" applyAlignment="1">
      <alignment horizontal="center" vertical="center"/>
    </xf>
    <xf numFmtId="0" fontId="18" fillId="0" borderId="12" xfId="0" applyFont="1" applyBorder="1"/>
    <xf numFmtId="0" fontId="18" fillId="0" borderId="45" xfId="0" applyFont="1" applyBorder="1"/>
    <xf numFmtId="0" fontId="18" fillId="3" borderId="18" xfId="0" applyFont="1" applyFill="1" applyBorder="1"/>
    <xf numFmtId="0" fontId="18" fillId="0" borderId="21" xfId="0" applyFont="1" applyBorder="1"/>
    <xf numFmtId="0" fontId="18" fillId="0" borderId="49" xfId="0" applyFont="1" applyBorder="1"/>
    <xf numFmtId="0" fontId="18" fillId="0" borderId="46" xfId="0" applyFont="1" applyBorder="1"/>
    <xf numFmtId="0" fontId="18" fillId="0" borderId="50" xfId="0" applyFont="1" applyBorder="1"/>
    <xf numFmtId="0" fontId="18" fillId="0" borderId="18" xfId="0" applyFont="1" applyBorder="1"/>
    <xf numFmtId="0" fontId="18" fillId="0" borderId="26" xfId="0" applyFont="1" applyBorder="1"/>
    <xf numFmtId="2" fontId="19" fillId="7" borderId="1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2" fontId="19" fillId="7" borderId="34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10" fontId="19" fillId="0" borderId="18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left" vertical="center"/>
    </xf>
    <xf numFmtId="10" fontId="23" fillId="0" borderId="18" xfId="0" applyNumberFormat="1" applyFont="1" applyBorder="1" applyAlignment="1">
      <alignment horizontal="right" vertical="center"/>
    </xf>
    <xf numFmtId="0" fontId="19" fillId="5" borderId="21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left" vertical="center"/>
    </xf>
    <xf numFmtId="10" fontId="23" fillId="5" borderId="18" xfId="0" applyNumberFormat="1" applyFont="1" applyFill="1" applyBorder="1" applyAlignment="1">
      <alignment horizontal="right" vertical="center"/>
    </xf>
    <xf numFmtId="0" fontId="24" fillId="0" borderId="1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10" fontId="6" fillId="0" borderId="0" xfId="0" applyNumberFormat="1" applyFont="1"/>
    <xf numFmtId="9" fontId="19" fillId="0" borderId="0" xfId="2" applyFont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9" fillId="9" borderId="22" xfId="0" applyFont="1" applyFill="1" applyBorder="1" applyAlignment="1">
      <alignment horizontal="left" vertical="center"/>
    </xf>
    <xf numFmtId="0" fontId="23" fillId="9" borderId="34" xfId="0" applyFont="1" applyFill="1" applyBorder="1" applyAlignment="1">
      <alignment horizontal="left" vertical="center"/>
    </xf>
    <xf numFmtId="10" fontId="23" fillId="9" borderId="35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10" fontId="23" fillId="0" borderId="0" xfId="0" applyNumberFormat="1" applyFont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10" fontId="19" fillId="0" borderId="0" xfId="0" applyNumberFormat="1" applyFont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26" fillId="0" borderId="0" xfId="0" applyFont="1" applyAlignment="1">
      <alignment horizontal="justify" vertical="center"/>
    </xf>
    <xf numFmtId="0" fontId="8" fillId="0" borderId="0" xfId="1" applyAlignment="1" applyProtection="1">
      <alignment horizontal="left" vertical="center"/>
    </xf>
    <xf numFmtId="0" fontId="27" fillId="0" borderId="0" xfId="0" applyFont="1"/>
    <xf numFmtId="0" fontId="19" fillId="0" borderId="0" xfId="0" applyFont="1" applyAlignment="1">
      <alignment horizontal="right" vertical="center"/>
    </xf>
    <xf numFmtId="0" fontId="5" fillId="0" borderId="13" xfId="0" applyFont="1" applyBorder="1"/>
    <xf numFmtId="0" fontId="5" fillId="0" borderId="21" xfId="0" applyFont="1" applyBorder="1"/>
    <xf numFmtId="0" fontId="5" fillId="3" borderId="18" xfId="0" applyFont="1" applyFill="1" applyBorder="1"/>
    <xf numFmtId="0" fontId="5" fillId="0" borderId="45" xfId="0" applyFont="1" applyBorder="1"/>
    <xf numFmtId="0" fontId="5" fillId="3" borderId="46" xfId="0" applyFont="1" applyFill="1" applyBorder="1"/>
    <xf numFmtId="0" fontId="5" fillId="0" borderId="47" xfId="0" applyFont="1" applyBorder="1"/>
    <xf numFmtId="0" fontId="5" fillId="3" borderId="48" xfId="0" applyFont="1" applyFill="1" applyBorder="1"/>
    <xf numFmtId="0" fontId="5" fillId="0" borderId="36" xfId="0" applyFont="1" applyBorder="1"/>
    <xf numFmtId="0" fontId="5" fillId="0" borderId="37" xfId="0" applyFont="1" applyBorder="1"/>
    <xf numFmtId="0" fontId="7" fillId="0" borderId="46" xfId="0" applyFont="1" applyBorder="1"/>
    <xf numFmtId="9" fontId="7" fillId="0" borderId="46" xfId="0" applyNumberFormat="1" applyFont="1" applyBorder="1"/>
    <xf numFmtId="0" fontId="7" fillId="0" borderId="36" xfId="0" applyFont="1" applyBorder="1" applyAlignment="1">
      <alignment horizontal="left" vertical="center"/>
    </xf>
    <xf numFmtId="9" fontId="5" fillId="0" borderId="21" xfId="2" applyFont="1" applyBorder="1"/>
    <xf numFmtId="9" fontId="5" fillId="0" borderId="1" xfId="2" applyFont="1" applyBorder="1" applyAlignment="1">
      <alignment horizontal="center"/>
    </xf>
    <xf numFmtId="9" fontId="5" fillId="0" borderId="18" xfId="2" applyFont="1" applyBorder="1"/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10" fontId="5" fillId="3" borderId="10" xfId="0" applyNumberFormat="1" applyFont="1" applyFill="1" applyBorder="1" applyAlignment="1">
      <alignment horizontal="center" vertical="center"/>
    </xf>
    <xf numFmtId="10" fontId="5" fillId="0" borderId="21" xfId="2" applyNumberFormat="1" applyFont="1" applyBorder="1"/>
    <xf numFmtId="10" fontId="5" fillId="0" borderId="18" xfId="2" applyNumberFormat="1" applyFont="1" applyBorder="1"/>
    <xf numFmtId="0" fontId="5" fillId="0" borderId="2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0" fontId="5" fillId="3" borderId="18" xfId="0" applyNumberFormat="1" applyFont="1" applyFill="1" applyBorder="1" applyAlignment="1">
      <alignment horizontal="center" vertical="center"/>
    </xf>
    <xf numFmtId="10" fontId="5" fillId="0" borderId="18" xfId="0" applyNumberFormat="1" applyFont="1" applyBorder="1" applyAlignment="1">
      <alignment horizontal="center" vertical="center"/>
    </xf>
    <xf numFmtId="10" fontId="5" fillId="3" borderId="1" xfId="2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8" xfId="0" applyFont="1" applyBorder="1"/>
    <xf numFmtId="0" fontId="5" fillId="0" borderId="22" xfId="0" applyFont="1" applyBorder="1" applyAlignment="1">
      <alignment horizontal="left" vertical="center"/>
    </xf>
    <xf numFmtId="10" fontId="5" fillId="3" borderId="3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10" fontId="5" fillId="0" borderId="25" xfId="0" applyNumberFormat="1" applyFont="1" applyBorder="1" applyAlignment="1">
      <alignment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vertical="center"/>
    </xf>
    <xf numFmtId="0" fontId="7" fillId="5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/>
    </xf>
    <xf numFmtId="10" fontId="7" fillId="5" borderId="7" xfId="0" applyNumberFormat="1" applyFont="1" applyFill="1" applyBorder="1" applyAlignment="1">
      <alignment horizontal="center" vertical="center" wrapText="1"/>
    </xf>
    <xf numFmtId="10" fontId="5" fillId="0" borderId="21" xfId="2" applyNumberFormat="1" applyFont="1" applyBorder="1" applyAlignment="1">
      <alignment horizontal="right"/>
    </xf>
    <xf numFmtId="10" fontId="5" fillId="0" borderId="1" xfId="2" applyNumberFormat="1" applyFont="1" applyBorder="1" applyAlignment="1">
      <alignment horizontal="right"/>
    </xf>
    <xf numFmtId="10" fontId="5" fillId="0" borderId="18" xfId="2" applyNumberFormat="1" applyFont="1" applyBorder="1" applyAlignment="1">
      <alignment horizontal="right"/>
    </xf>
    <xf numFmtId="10" fontId="5" fillId="0" borderId="22" xfId="2" applyNumberFormat="1" applyFont="1" applyBorder="1" applyAlignment="1">
      <alignment horizontal="right"/>
    </xf>
    <xf numFmtId="10" fontId="5" fillId="0" borderId="34" xfId="2" applyNumberFormat="1" applyFont="1" applyBorder="1" applyAlignment="1">
      <alignment horizontal="right"/>
    </xf>
    <xf numFmtId="10" fontId="5" fillId="0" borderId="35" xfId="2" applyNumberFormat="1" applyFont="1" applyBorder="1" applyAlignment="1">
      <alignment horizontal="right"/>
    </xf>
    <xf numFmtId="0" fontId="6" fillId="0" borderId="52" xfId="0" applyFont="1" applyBorder="1"/>
    <xf numFmtId="0" fontId="20" fillId="0" borderId="52" xfId="0" applyFont="1" applyBorder="1" applyAlignment="1">
      <alignment horizontal="justify"/>
    </xf>
    <xf numFmtId="0" fontId="20" fillId="0" borderId="53" xfId="0" applyFont="1" applyBorder="1" applyAlignment="1">
      <alignment horizontal="justify"/>
    </xf>
    <xf numFmtId="0" fontId="17" fillId="10" borderId="51" xfId="0" applyFont="1" applyFill="1" applyBorder="1" applyAlignment="1">
      <alignment horizontal="center"/>
    </xf>
    <xf numFmtId="1" fontId="6" fillId="0" borderId="0" xfId="3" applyNumberFormat="1" applyFont="1" applyAlignment="1">
      <alignment horizontal="center" vertical="center"/>
    </xf>
    <xf numFmtId="168" fontId="3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3" fillId="0" borderId="34" xfId="0" applyNumberFormat="1" applyFont="1" applyBorder="1" applyAlignment="1">
      <alignment vertical="center"/>
    </xf>
    <xf numFmtId="165" fontId="3" fillId="0" borderId="9" xfId="3" applyFont="1" applyBorder="1" applyAlignment="1">
      <alignment vertical="center"/>
    </xf>
    <xf numFmtId="165" fontId="3" fillId="0" borderId="5" xfId="3" applyFont="1" applyBorder="1" applyAlignment="1">
      <alignment vertical="center"/>
    </xf>
    <xf numFmtId="9" fontId="3" fillId="3" borderId="7" xfId="2" applyFont="1" applyFill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8" xfId="3" applyFont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wrapText="1"/>
    </xf>
    <xf numFmtId="166" fontId="3" fillId="0" borderId="1" xfId="3" applyNumberFormat="1" applyFont="1" applyBorder="1" applyAlignment="1">
      <alignment horizontal="center" vertical="center"/>
    </xf>
    <xf numFmtId="167" fontId="3" fillId="0" borderId="1" xfId="3" applyNumberFormat="1" applyFont="1" applyBorder="1" applyAlignment="1">
      <alignment horizontal="center" vertical="center"/>
    </xf>
    <xf numFmtId="167" fontId="6" fillId="0" borderId="2" xfId="3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/>
    <xf numFmtId="169" fontId="18" fillId="0" borderId="46" xfId="0" applyNumberFormat="1" applyFont="1" applyBorder="1"/>
    <xf numFmtId="169" fontId="7" fillId="0" borderId="46" xfId="0" applyNumberFormat="1" applyFont="1" applyBorder="1"/>
    <xf numFmtId="169" fontId="7" fillId="0" borderId="29" xfId="0" applyNumberFormat="1" applyFont="1" applyBorder="1"/>
    <xf numFmtId="0" fontId="3" fillId="0" borderId="54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165" fontId="3" fillId="0" borderId="54" xfId="3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/>
    </xf>
    <xf numFmtId="13" fontId="1" fillId="3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" fillId="0" borderId="0" xfId="3" applyAlignment="1">
      <alignment vertical="center"/>
    </xf>
    <xf numFmtId="165" fontId="1" fillId="0" borderId="12" xfId="3" applyBorder="1" applyAlignment="1">
      <alignment vertical="center"/>
    </xf>
    <xf numFmtId="165" fontId="1" fillId="0" borderId="38" xfId="3" applyBorder="1" applyAlignment="1">
      <alignment vertical="center"/>
    </xf>
    <xf numFmtId="165" fontId="13" fillId="8" borderId="16" xfId="3" applyFont="1" applyFill="1" applyBorder="1" applyAlignment="1">
      <alignment horizontal="center" vertical="center"/>
    </xf>
    <xf numFmtId="165" fontId="6" fillId="8" borderId="4" xfId="3" applyFont="1" applyFill="1" applyBorder="1" applyAlignment="1">
      <alignment vertical="center"/>
    </xf>
    <xf numFmtId="165" fontId="3" fillId="8" borderId="4" xfId="3" applyFont="1" applyFill="1" applyBorder="1" applyAlignment="1">
      <alignment vertical="center"/>
    </xf>
    <xf numFmtId="168" fontId="3" fillId="0" borderId="3" xfId="0" applyNumberFormat="1" applyFont="1" applyBorder="1" applyAlignment="1">
      <alignment vertical="center"/>
    </xf>
    <xf numFmtId="4" fontId="1" fillId="3" borderId="2" xfId="0" applyNumberFormat="1" applyFont="1" applyFill="1" applyBorder="1" applyAlignment="1">
      <alignment horizontal="center" vertical="center"/>
    </xf>
    <xf numFmtId="167" fontId="1" fillId="3" borderId="2" xfId="3" applyNumberFormat="1" applyFill="1" applyBorder="1" applyAlignment="1">
      <alignment horizontal="center" vertical="center"/>
    </xf>
    <xf numFmtId="0" fontId="6" fillId="0" borderId="1" xfId="3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3" applyNumberFormat="1" applyFont="1" applyBorder="1" applyAlignment="1">
      <alignment horizontal="right" vertical="center"/>
    </xf>
    <xf numFmtId="165" fontId="6" fillId="3" borderId="1" xfId="3" applyFont="1" applyFill="1" applyBorder="1" applyAlignment="1">
      <alignment horizontal="right" vertical="center"/>
    </xf>
    <xf numFmtId="165" fontId="6" fillId="4" borderId="0" xfId="3" applyFont="1" applyFill="1" applyAlignment="1">
      <alignment vertical="center"/>
    </xf>
    <xf numFmtId="43" fontId="6" fillId="0" borderId="1" xfId="3" applyNumberFormat="1" applyFont="1" applyBorder="1" applyAlignment="1">
      <alignment horizontal="right" vertical="center"/>
    </xf>
    <xf numFmtId="8" fontId="4" fillId="0" borderId="0" xfId="0" applyNumberFormat="1" applyFont="1" applyAlignment="1">
      <alignment vertical="center"/>
    </xf>
    <xf numFmtId="13" fontId="6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165" fontId="3" fillId="0" borderId="8" xfId="3" applyFont="1" applyBorder="1" applyAlignment="1">
      <alignment horizontal="left" vertical="center"/>
    </xf>
    <xf numFmtId="0" fontId="17" fillId="8" borderId="23" xfId="0" applyFont="1" applyFill="1" applyBorder="1" applyAlignment="1">
      <alignment horizontal="center" vertical="center"/>
    </xf>
    <xf numFmtId="0" fontId="17" fillId="8" borderId="24" xfId="0" applyFont="1" applyFill="1" applyBorder="1" applyAlignment="1">
      <alignment horizontal="center" vertical="center"/>
    </xf>
    <xf numFmtId="0" fontId="17" fillId="8" borderId="25" xfId="0" applyFont="1" applyFill="1" applyBorder="1" applyAlignment="1">
      <alignment horizontal="center" vertical="center"/>
    </xf>
    <xf numFmtId="0" fontId="7" fillId="8" borderId="42" xfId="0" applyFont="1" applyFill="1" applyBorder="1" applyAlignment="1">
      <alignment horizontal="center" vertical="center"/>
    </xf>
    <xf numFmtId="0" fontId="7" fillId="8" borderId="40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165" fontId="3" fillId="0" borderId="5" xfId="3" applyFont="1" applyBorder="1" applyAlignment="1">
      <alignment horizontal="center" vertical="center"/>
    </xf>
    <xf numFmtId="165" fontId="3" fillId="0" borderId="6" xfId="3" applyFont="1" applyBorder="1" applyAlignment="1">
      <alignment horizontal="center" vertical="center"/>
    </xf>
    <xf numFmtId="165" fontId="3" fillId="0" borderId="41" xfId="3" applyFont="1" applyBorder="1" applyAlignment="1">
      <alignment horizontal="center" vertical="center"/>
    </xf>
    <xf numFmtId="165" fontId="4" fillId="8" borderId="5" xfId="3" applyFont="1" applyFill="1" applyBorder="1" applyAlignment="1">
      <alignment horizontal="center" vertical="center"/>
    </xf>
    <xf numFmtId="165" fontId="4" fillId="8" borderId="6" xfId="3" applyFont="1" applyFill="1" applyBorder="1" applyAlignment="1">
      <alignment horizontal="center" vertical="center"/>
    </xf>
    <xf numFmtId="165" fontId="4" fillId="8" borderId="7" xfId="3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17" fillId="8" borderId="20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17" fillId="10" borderId="17" xfId="0" applyFont="1" applyFill="1" applyBorder="1" applyAlignment="1">
      <alignment horizontal="center"/>
    </xf>
    <xf numFmtId="0" fontId="17" fillId="10" borderId="44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9" fontId="7" fillId="0" borderId="19" xfId="2" applyFont="1" applyBorder="1" applyAlignment="1">
      <alignment horizontal="center"/>
    </xf>
    <xf numFmtId="9" fontId="7" fillId="0" borderId="20" xfId="2" applyFont="1" applyBorder="1" applyAlignment="1">
      <alignment horizontal="center"/>
    </xf>
    <xf numFmtId="9" fontId="7" fillId="0" borderId="10" xfId="2" applyFont="1" applyBorder="1" applyAlignment="1">
      <alignment horizontal="center"/>
    </xf>
    <xf numFmtId="0" fontId="4" fillId="10" borderId="23" xfId="0" applyFont="1" applyFill="1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/>
    </xf>
    <xf numFmtId="0" fontId="4" fillId="10" borderId="25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65" fontId="13" fillId="2" borderId="1" xfId="3" applyFont="1" applyFill="1" applyBorder="1" applyAlignment="1">
      <alignment horizontal="center" vertical="center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id="{00000000-0008-0000-05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id="{00000000-0008-0000-05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2"/>
  <sheetViews>
    <sheetView tabSelected="1" view="pageBreakPreview" topLeftCell="A256" zoomScaleNormal="100" zoomScaleSheetLayoutView="100" workbookViewId="0">
      <selection activeCell="A247" sqref="A247"/>
    </sheetView>
  </sheetViews>
  <sheetFormatPr defaultRowHeight="12.75" x14ac:dyDescent="0.2"/>
  <cols>
    <col min="1" max="1" width="48.5703125" style="9" customWidth="1"/>
    <col min="2" max="2" width="16" style="9" bestFit="1" customWidth="1"/>
    <col min="3" max="3" width="12.7109375" style="9" customWidth="1"/>
    <col min="4" max="4" width="14.7109375" style="10" customWidth="1"/>
    <col min="5" max="5" width="16" style="10" customWidth="1"/>
    <col min="6" max="6" width="14" style="10" customWidth="1"/>
    <col min="7" max="7" width="28.140625" style="10" customWidth="1"/>
    <col min="8" max="8" width="9.140625" style="9"/>
    <col min="9" max="9" width="14.5703125" style="9" customWidth="1"/>
    <col min="10" max="10" width="13.42578125" style="9" customWidth="1"/>
    <col min="11" max="16384" width="9.140625" style="9"/>
  </cols>
  <sheetData>
    <row r="1" spans="1:6" x14ac:dyDescent="0.2">
      <c r="A1" s="11" t="s">
        <v>244</v>
      </c>
      <c r="B1" s="7"/>
      <c r="C1" s="7"/>
      <c r="D1" s="245"/>
      <c r="E1" s="245"/>
      <c r="F1" s="245"/>
    </row>
    <row r="2" spans="1:6" x14ac:dyDescent="0.2">
      <c r="A2" s="243" t="s">
        <v>245</v>
      </c>
      <c r="B2" s="7"/>
      <c r="C2" s="7"/>
      <c r="D2" s="245"/>
      <c r="E2" s="245"/>
      <c r="F2" s="245"/>
    </row>
    <row r="3" spans="1:6" x14ac:dyDescent="0.2">
      <c r="A3" s="243"/>
      <c r="B3" s="7"/>
      <c r="C3" s="7"/>
      <c r="D3" s="245"/>
      <c r="E3" s="245"/>
      <c r="F3" s="245"/>
    </row>
    <row r="4" spans="1:6" ht="12.75" customHeight="1" x14ac:dyDescent="0.2">
      <c r="A4" s="263" t="s">
        <v>248</v>
      </c>
      <c r="B4" s="263"/>
      <c r="C4" s="263"/>
      <c r="D4" s="263"/>
      <c r="E4" s="263"/>
      <c r="F4" s="263"/>
    </row>
    <row r="5" spans="1:6" x14ac:dyDescent="0.2">
      <c r="A5" s="263"/>
      <c r="B5" s="263"/>
      <c r="C5" s="263"/>
      <c r="D5" s="263"/>
      <c r="E5" s="263"/>
      <c r="F5" s="263"/>
    </row>
    <row r="6" spans="1:6" x14ac:dyDescent="0.2">
      <c r="A6" s="263"/>
      <c r="B6" s="263"/>
      <c r="C6" s="263"/>
      <c r="D6" s="263"/>
      <c r="E6" s="263"/>
      <c r="F6" s="263"/>
    </row>
    <row r="7" spans="1:6" x14ac:dyDescent="0.2">
      <c r="A7" s="263"/>
      <c r="B7" s="263"/>
      <c r="C7" s="263"/>
      <c r="D7" s="263"/>
      <c r="E7" s="263"/>
      <c r="F7" s="263"/>
    </row>
    <row r="8" spans="1:6" x14ac:dyDescent="0.2">
      <c r="A8" s="263"/>
      <c r="B8" s="263"/>
      <c r="C8" s="263"/>
      <c r="D8" s="263"/>
      <c r="E8" s="263"/>
      <c r="F8" s="263"/>
    </row>
    <row r="9" spans="1:6" x14ac:dyDescent="0.2">
      <c r="A9" s="263"/>
      <c r="B9" s="263"/>
      <c r="C9" s="263"/>
      <c r="D9" s="263"/>
      <c r="E9" s="263"/>
      <c r="F9" s="263"/>
    </row>
    <row r="10" spans="1:6" x14ac:dyDescent="0.2">
      <c r="A10" s="263"/>
      <c r="B10" s="263"/>
      <c r="C10" s="263"/>
      <c r="D10" s="263"/>
      <c r="E10" s="263"/>
      <c r="F10" s="263"/>
    </row>
    <row r="11" spans="1:6" x14ac:dyDescent="0.2">
      <c r="A11" s="263"/>
      <c r="B11" s="263"/>
      <c r="C11" s="263"/>
      <c r="D11" s="263"/>
      <c r="E11" s="263"/>
      <c r="F11" s="263"/>
    </row>
    <row r="12" spans="1:6" x14ac:dyDescent="0.2">
      <c r="A12" s="263"/>
      <c r="B12" s="263"/>
      <c r="C12" s="263"/>
      <c r="D12" s="263"/>
      <c r="E12" s="263"/>
      <c r="F12" s="263"/>
    </row>
    <row r="13" spans="1:6" x14ac:dyDescent="0.2">
      <c r="A13" s="263"/>
      <c r="B13" s="263"/>
      <c r="C13" s="263"/>
      <c r="D13" s="263"/>
      <c r="E13" s="263"/>
      <c r="F13" s="263"/>
    </row>
    <row r="14" spans="1:6" x14ac:dyDescent="0.2">
      <c r="A14" s="263"/>
      <c r="B14" s="263"/>
      <c r="C14" s="263"/>
      <c r="D14" s="263"/>
      <c r="E14" s="263"/>
      <c r="F14" s="263"/>
    </row>
    <row r="15" spans="1:6" x14ac:dyDescent="0.2">
      <c r="A15" s="263"/>
      <c r="B15" s="263"/>
      <c r="C15" s="263"/>
      <c r="D15" s="263"/>
      <c r="E15" s="263"/>
      <c r="F15" s="263"/>
    </row>
    <row r="16" spans="1:6" x14ac:dyDescent="0.2">
      <c r="A16" s="263"/>
      <c r="B16" s="263"/>
      <c r="C16" s="263"/>
      <c r="D16" s="263"/>
      <c r="E16" s="263"/>
      <c r="F16" s="263"/>
    </row>
    <row r="17" spans="1:7" x14ac:dyDescent="0.2">
      <c r="A17" s="263"/>
      <c r="B17" s="263"/>
      <c r="C17" s="263"/>
      <c r="D17" s="263"/>
      <c r="E17" s="263"/>
      <c r="F17" s="263"/>
    </row>
    <row r="18" spans="1:7" s="4" customFormat="1" ht="15.6" customHeight="1" thickBot="1" x14ac:dyDescent="0.25">
      <c r="A18" s="7"/>
      <c r="B18" s="5"/>
      <c r="C18" s="5"/>
      <c r="D18" s="6"/>
      <c r="E18" s="6"/>
      <c r="F18" s="6"/>
      <c r="G18" s="6"/>
    </row>
    <row r="19" spans="1:7" s="8" customFormat="1" ht="18" x14ac:dyDescent="0.2">
      <c r="A19" s="268" t="s">
        <v>257</v>
      </c>
      <c r="B19" s="269"/>
      <c r="C19" s="269"/>
      <c r="D19" s="269"/>
      <c r="E19" s="269"/>
      <c r="F19" s="270"/>
      <c r="G19" s="33"/>
    </row>
    <row r="20" spans="1:7" s="8" customFormat="1" ht="21.75" customHeight="1" x14ac:dyDescent="0.2">
      <c r="A20" s="271" t="s">
        <v>36</v>
      </c>
      <c r="B20" s="272"/>
      <c r="C20" s="272"/>
      <c r="D20" s="272"/>
      <c r="E20" s="272"/>
      <c r="F20" s="273"/>
      <c r="G20" s="33"/>
    </row>
    <row r="21" spans="1:7" s="4" customFormat="1" ht="10.9" customHeight="1" thickBot="1" x14ac:dyDescent="0.25">
      <c r="A21" s="121"/>
      <c r="B21" s="5"/>
      <c r="C21" s="5"/>
      <c r="D21" s="6"/>
      <c r="E21" s="6"/>
      <c r="F21" s="122"/>
      <c r="G21" s="6"/>
    </row>
    <row r="22" spans="1:7" s="4" customFormat="1" ht="15.75" customHeight="1" thickBot="1" x14ac:dyDescent="0.25">
      <c r="A22" s="277" t="s">
        <v>180</v>
      </c>
      <c r="B22" s="278"/>
      <c r="C22" s="278"/>
      <c r="D22" s="278"/>
      <c r="E22" s="278"/>
      <c r="F22" s="279"/>
      <c r="G22" s="6"/>
    </row>
    <row r="23" spans="1:7" s="4" customFormat="1" ht="15.75" customHeight="1" x14ac:dyDescent="0.2">
      <c r="A23" s="55" t="s">
        <v>179</v>
      </c>
      <c r="B23" s="36"/>
      <c r="C23" s="36"/>
      <c r="D23" s="217"/>
      <c r="E23" s="93" t="s">
        <v>31</v>
      </c>
      <c r="F23" s="37" t="s">
        <v>2</v>
      </c>
      <c r="G23" s="6"/>
    </row>
    <row r="24" spans="1:7" s="11" customFormat="1" ht="15.75" customHeight="1" x14ac:dyDescent="0.2">
      <c r="A24" s="100" t="str">
        <f>+A60</f>
        <v>1. Mão-de-obra</v>
      </c>
      <c r="B24" s="101"/>
      <c r="C24" s="102"/>
      <c r="D24" s="102"/>
      <c r="E24" s="214">
        <f>+F121</f>
        <v>9473.38508</v>
      </c>
      <c r="F24" s="103">
        <f t="shared" ref="F24:F41" si="0">IFERROR(E24/$E$44,0)</f>
        <v>8.2447737434198337E-2</v>
      </c>
      <c r="G24" s="23"/>
    </row>
    <row r="25" spans="1:7" s="4" customFormat="1" ht="15.75" customHeight="1" x14ac:dyDescent="0.2">
      <c r="A25" s="44" t="str">
        <f>A62</f>
        <v>1.1. Auxiliar de serviços gerais primeiro e segundo turno</v>
      </c>
      <c r="B25" s="40"/>
      <c r="C25" s="42"/>
      <c r="D25" s="42"/>
      <c r="E25" s="215">
        <f>F73</f>
        <v>0</v>
      </c>
      <c r="F25" s="50">
        <f t="shared" si="0"/>
        <v>0</v>
      </c>
      <c r="G25" s="6"/>
    </row>
    <row r="26" spans="1:7" s="4" customFormat="1" ht="15.75" customHeight="1" x14ac:dyDescent="0.2">
      <c r="A26" s="44" t="str">
        <f>A75</f>
        <v>1.2  Operador primeiro e segundo turno</v>
      </c>
      <c r="B26" s="40"/>
      <c r="C26" s="42"/>
      <c r="D26" s="42"/>
      <c r="E26" s="215">
        <f>F88</f>
        <v>0</v>
      </c>
      <c r="F26" s="50">
        <f t="shared" si="0"/>
        <v>0</v>
      </c>
      <c r="G26" s="6"/>
    </row>
    <row r="27" spans="1:7" s="4" customFormat="1" ht="15.75" customHeight="1" x14ac:dyDescent="0.2">
      <c r="A27" s="44" t="str">
        <f>A90</f>
        <v>1.3 Motorista de carreta</v>
      </c>
      <c r="B27" s="40"/>
      <c r="C27" s="42"/>
      <c r="D27" s="42"/>
      <c r="E27" s="215">
        <f>F99</f>
        <v>8390.2250800000002</v>
      </c>
      <c r="F27" s="50">
        <f t="shared" si="0"/>
        <v>7.3020896814390418E-2</v>
      </c>
      <c r="G27" s="6"/>
    </row>
    <row r="28" spans="1:7" s="4" customFormat="1" ht="15.75" customHeight="1" x14ac:dyDescent="0.2">
      <c r="A28" s="44" t="str">
        <f>A101</f>
        <v>1.4. Vale Transporte</v>
      </c>
      <c r="B28" s="40"/>
      <c r="C28" s="42"/>
      <c r="D28" s="42"/>
      <c r="E28" s="215">
        <f>F107</f>
        <v>177.84</v>
      </c>
      <c r="F28" s="50">
        <f t="shared" si="0"/>
        <v>1.5477577973952508E-3</v>
      </c>
      <c r="G28" s="6"/>
    </row>
    <row r="29" spans="1:7" s="4" customFormat="1" ht="15.75" customHeight="1" x14ac:dyDescent="0.2">
      <c r="A29" s="44" t="str">
        <f>A109</f>
        <v>1.5. Vale-refeição (diário)</v>
      </c>
      <c r="B29" s="40"/>
      <c r="C29" s="42"/>
      <c r="D29" s="42"/>
      <c r="E29" s="215">
        <f>F113</f>
        <v>905.32</v>
      </c>
      <c r="F29" s="50">
        <f t="shared" si="0"/>
        <v>7.8790828224126665E-3</v>
      </c>
      <c r="G29" s="6"/>
    </row>
    <row r="30" spans="1:7" s="4" customFormat="1" ht="15.75" customHeight="1" x14ac:dyDescent="0.2">
      <c r="A30" s="44" t="str">
        <f>A115</f>
        <v>1.6. Auxílio Alimentação (mensal)</v>
      </c>
      <c r="B30" s="40"/>
      <c r="C30" s="42"/>
      <c r="D30" s="42"/>
      <c r="E30" s="215">
        <f>F119</f>
        <v>0</v>
      </c>
      <c r="F30" s="50">
        <f t="shared" si="0"/>
        <v>0</v>
      </c>
      <c r="G30" s="6"/>
    </row>
    <row r="31" spans="1:7" s="11" customFormat="1" ht="15.75" customHeight="1" x14ac:dyDescent="0.2">
      <c r="A31" s="266" t="str">
        <f>+A123</f>
        <v>2. Uniformes e Equipamentos de Proteção Individual</v>
      </c>
      <c r="B31" s="267"/>
      <c r="C31" s="267"/>
      <c r="D31" s="102"/>
      <c r="E31" s="214">
        <f>+F155</f>
        <v>220.41666666666669</v>
      </c>
      <c r="F31" s="103">
        <f t="shared" si="0"/>
        <v>1.9183064243657401E-3</v>
      </c>
      <c r="G31" s="23"/>
    </row>
    <row r="32" spans="1:7" s="11" customFormat="1" ht="15.75" customHeight="1" x14ac:dyDescent="0.2">
      <c r="A32" s="110" t="str">
        <f>+A157</f>
        <v>3. Veículos e Equipamentos</v>
      </c>
      <c r="B32" s="111"/>
      <c r="C32" s="102"/>
      <c r="D32" s="102"/>
      <c r="E32" s="214">
        <f>+F236</f>
        <v>80594.737038787876</v>
      </c>
      <c r="F32" s="103">
        <f t="shared" si="0"/>
        <v>0.701423373148919</v>
      </c>
      <c r="G32" s="23"/>
    </row>
    <row r="33" spans="1:7" s="4" customFormat="1" ht="15.75" customHeight="1" x14ac:dyDescent="0.2">
      <c r="A33" s="56" t="str">
        <f>A159</f>
        <v>3.1 CARRETAS 55 M³</v>
      </c>
      <c r="B33" s="41"/>
      <c r="C33" s="42"/>
      <c r="D33" s="42"/>
      <c r="E33" s="215">
        <f>SUM(E34:E39)</f>
        <v>80594.737038787876</v>
      </c>
      <c r="F33" s="116">
        <f t="shared" si="0"/>
        <v>0.701423373148919</v>
      </c>
      <c r="G33" s="6"/>
    </row>
    <row r="34" spans="1:7" s="4" customFormat="1" ht="15.75" customHeight="1" x14ac:dyDescent="0.2">
      <c r="A34" s="56" t="str">
        <f>A161</f>
        <v>3.1.1. Depreciação</v>
      </c>
      <c r="B34" s="41"/>
      <c r="C34" s="42"/>
      <c r="D34" s="42"/>
      <c r="E34" s="215">
        <f>F175</f>
        <v>9353.3300000000017</v>
      </c>
      <c r="F34" s="116">
        <f t="shared" si="0"/>
        <v>8.1402887084519371E-2</v>
      </c>
      <c r="G34" s="6"/>
    </row>
    <row r="35" spans="1:7" s="4" customFormat="1" ht="15.75" customHeight="1" x14ac:dyDescent="0.2">
      <c r="A35" s="56" t="str">
        <f>A177</f>
        <v>3.1.2. Remuneração do Capital</v>
      </c>
      <c r="B35" s="41"/>
      <c r="C35" s="42"/>
      <c r="D35" s="42"/>
      <c r="E35" s="215">
        <f>F191</f>
        <v>4628.2175333333334</v>
      </c>
      <c r="F35" s="116">
        <f t="shared" si="0"/>
        <v>4.0279800805544767E-2</v>
      </c>
      <c r="G35" s="6"/>
    </row>
    <row r="36" spans="1:7" s="4" customFormat="1" ht="15.75" customHeight="1" x14ac:dyDescent="0.2">
      <c r="A36" s="56" t="str">
        <f>A193</f>
        <v>3.1.3. Impostos e Seguros</v>
      </c>
      <c r="B36" s="41"/>
      <c r="C36" s="42"/>
      <c r="D36" s="42"/>
      <c r="E36" s="215">
        <f>F199</f>
        <v>2786.6666666666665</v>
      </c>
      <c r="F36" s="116">
        <f t="shared" si="0"/>
        <v>2.4252615058899939E-2</v>
      </c>
      <c r="G36" s="6"/>
    </row>
    <row r="37" spans="1:7" s="4" customFormat="1" ht="15.75" customHeight="1" x14ac:dyDescent="0.2">
      <c r="A37" s="56" t="str">
        <f>A201</f>
        <v>3.1.4. Consumos</v>
      </c>
      <c r="B37" s="41"/>
      <c r="C37" s="42"/>
      <c r="D37" s="42"/>
      <c r="E37" s="215">
        <f>F219</f>
        <v>35303.722838787871</v>
      </c>
      <c r="F37" s="116">
        <f t="shared" si="0"/>
        <v>0.3072515311561782</v>
      </c>
      <c r="G37" s="6"/>
    </row>
    <row r="38" spans="1:7" s="4" customFormat="1" ht="15.75" customHeight="1" x14ac:dyDescent="0.2">
      <c r="A38" s="56" t="str">
        <f>A221</f>
        <v>3.1.5. Manutenção</v>
      </c>
      <c r="B38" s="41"/>
      <c r="C38" s="42"/>
      <c r="D38" s="42"/>
      <c r="E38" s="215">
        <f>F224</f>
        <v>19015.2</v>
      </c>
      <c r="F38" s="116">
        <f t="shared" si="0"/>
        <v>0.16549102602918453</v>
      </c>
      <c r="G38" s="6"/>
    </row>
    <row r="39" spans="1:7" s="4" customFormat="1" ht="15.75" customHeight="1" x14ac:dyDescent="0.2">
      <c r="A39" s="56" t="str">
        <f>A226</f>
        <v>3.1.6. Pneus</v>
      </c>
      <c r="B39" s="41"/>
      <c r="C39" s="42"/>
      <c r="D39" s="42"/>
      <c r="E39" s="215">
        <f>F233</f>
        <v>9507.6</v>
      </c>
      <c r="F39" s="116">
        <f t="shared" si="0"/>
        <v>8.2745513014592265E-2</v>
      </c>
      <c r="G39" s="6"/>
    </row>
    <row r="40" spans="1:7" s="11" customFormat="1" ht="15.75" customHeight="1" x14ac:dyDescent="0.2">
      <c r="A40" s="110" t="str">
        <f>+A238</f>
        <v>4. Ferramentas e Materiais de Consumo</v>
      </c>
      <c r="B40" s="111"/>
      <c r="C40" s="102"/>
      <c r="D40" s="102"/>
      <c r="E40" s="214">
        <f>+F245</f>
        <v>6.1666666666666661</v>
      </c>
      <c r="F40" s="103">
        <f t="shared" si="0"/>
        <v>5.366906442459915E-5</v>
      </c>
      <c r="G40" s="23"/>
    </row>
    <row r="41" spans="1:7" s="11" customFormat="1" ht="15.75" customHeight="1" x14ac:dyDescent="0.2">
      <c r="A41" s="110" t="str">
        <f>+A247</f>
        <v>5. Monitoramento da Frota</v>
      </c>
      <c r="B41" s="111"/>
      <c r="C41" s="102"/>
      <c r="D41" s="102"/>
      <c r="E41" s="214">
        <f>+F256</f>
        <v>93.666666666666671</v>
      </c>
      <c r="F41" s="103">
        <f t="shared" si="0"/>
        <v>8.1518957315201957E-4</v>
      </c>
      <c r="G41" s="23"/>
    </row>
    <row r="42" spans="1:7" s="11" customFormat="1" ht="15.75" customHeight="1" x14ac:dyDescent="0.2">
      <c r="A42" s="110" t="s">
        <v>250</v>
      </c>
      <c r="B42" s="111"/>
      <c r="C42" s="102"/>
      <c r="D42" s="102"/>
      <c r="E42" s="251">
        <f>F263</f>
        <v>0</v>
      </c>
      <c r="F42" s="103">
        <f>IFERROR(E42/$E$44,0)</f>
        <v>0</v>
      </c>
      <c r="G42" s="23"/>
    </row>
    <row r="43" spans="1:7" s="11" customFormat="1" ht="15.75" customHeight="1" thickBot="1" x14ac:dyDescent="0.25">
      <c r="A43" s="110" t="str">
        <f>+A267</f>
        <v>7. Benefícios e Despesas Indiretas - BDI</v>
      </c>
      <c r="B43" s="111"/>
      <c r="C43" s="102"/>
      <c r="D43" s="102"/>
      <c r="E43" s="216">
        <f>F273</f>
        <v>24513.326518615275</v>
      </c>
      <c r="F43" s="103">
        <f>IFERROR(E43/$E$44,0)</f>
        <v>0.21334172435494023</v>
      </c>
      <c r="G43" s="23"/>
    </row>
    <row r="44" spans="1:7" s="4" customFormat="1" ht="15.75" customHeight="1" thickBot="1" x14ac:dyDescent="0.25">
      <c r="A44" s="38" t="s">
        <v>216</v>
      </c>
      <c r="B44" s="39"/>
      <c r="C44" s="26"/>
      <c r="D44" s="26"/>
      <c r="E44" s="92">
        <f>E24+E31+E32+E40+E41+E42+E43</f>
        <v>114901.69863740315</v>
      </c>
      <c r="F44" s="115">
        <f>F24+F31+F32+F40+F41+F43+F42</f>
        <v>0.99999999999999989</v>
      </c>
      <c r="G44" s="6"/>
    </row>
    <row r="46" spans="1:7" ht="13.5" thickBot="1" x14ac:dyDescent="0.25"/>
    <row r="47" spans="1:7" s="4" customFormat="1" ht="15" customHeight="1" thickBot="1" x14ac:dyDescent="0.25">
      <c r="A47" s="277" t="s">
        <v>83</v>
      </c>
      <c r="B47" s="278"/>
      <c r="C47" s="278"/>
      <c r="D47" s="278"/>
      <c r="E47" s="279"/>
      <c r="F47" s="10"/>
      <c r="G47" s="6"/>
    </row>
    <row r="48" spans="1:7" s="4" customFormat="1" ht="15" customHeight="1" thickBot="1" x14ac:dyDescent="0.25">
      <c r="A48" s="274" t="s">
        <v>32</v>
      </c>
      <c r="B48" s="275"/>
      <c r="C48" s="275"/>
      <c r="D48" s="276"/>
      <c r="E48" s="43" t="s">
        <v>33</v>
      </c>
      <c r="F48" s="10"/>
      <c r="G48" s="6"/>
    </row>
    <row r="49" spans="1:7" s="4" customFormat="1" ht="15" customHeight="1" x14ac:dyDescent="0.2">
      <c r="A49" s="64" t="str">
        <f>+A62</f>
        <v>1.1. Auxiliar de serviços gerais primeiro e segundo turno</v>
      </c>
      <c r="B49" s="65"/>
      <c r="C49" s="65"/>
      <c r="D49" s="66"/>
      <c r="E49" s="67">
        <v>0</v>
      </c>
      <c r="F49" s="10"/>
      <c r="G49" s="6"/>
    </row>
    <row r="50" spans="1:7" s="4" customFormat="1" ht="15" customHeight="1" x14ac:dyDescent="0.2">
      <c r="A50" s="58" t="str">
        <f>+A75</f>
        <v>1.2  Operador primeiro e segundo turno</v>
      </c>
      <c r="B50" s="57"/>
      <c r="C50" s="57"/>
      <c r="D50" s="68"/>
      <c r="E50" s="61">
        <v>0</v>
      </c>
      <c r="F50" s="10"/>
      <c r="G50" s="6"/>
    </row>
    <row r="51" spans="1:7" s="4" customFormat="1" ht="15" customHeight="1" x14ac:dyDescent="0.2">
      <c r="A51" s="246" t="s">
        <v>274</v>
      </c>
      <c r="B51" s="57"/>
      <c r="C51" s="57"/>
      <c r="D51" s="68"/>
      <c r="E51" s="61">
        <v>2</v>
      </c>
      <c r="F51" s="10"/>
      <c r="G51" s="6"/>
    </row>
    <row r="52" spans="1:7" s="4" customFormat="1" ht="15" customHeight="1" thickBot="1" x14ac:dyDescent="0.25">
      <c r="A52" s="62" t="s">
        <v>49</v>
      </c>
      <c r="B52" s="63"/>
      <c r="C52" s="63"/>
      <c r="D52" s="69"/>
      <c r="E52" s="70">
        <f>SUM(E49:E51)</f>
        <v>2</v>
      </c>
      <c r="F52" s="10"/>
      <c r="G52" s="6"/>
    </row>
    <row r="53" spans="1:7" s="4" customFormat="1" ht="15" customHeight="1" thickBot="1" x14ac:dyDescent="0.25">
      <c r="A53" s="104"/>
      <c r="B53" s="105"/>
      <c r="C53" s="10"/>
      <c r="D53" s="10"/>
      <c r="E53" s="106"/>
      <c r="F53" s="10"/>
      <c r="G53" s="6"/>
    </row>
    <row r="54" spans="1:7" s="4" customFormat="1" ht="15" customHeight="1" x14ac:dyDescent="0.2">
      <c r="A54" s="264" t="s">
        <v>47</v>
      </c>
      <c r="B54" s="265"/>
      <c r="C54" s="265"/>
      <c r="D54" s="265"/>
      <c r="E54" s="43" t="s">
        <v>33</v>
      </c>
      <c r="F54" s="9"/>
      <c r="G54" s="6"/>
    </row>
    <row r="55" spans="1:7" s="4" customFormat="1" ht="15" customHeight="1" thickBot="1" x14ac:dyDescent="0.25">
      <c r="A55" s="247" t="s">
        <v>259</v>
      </c>
      <c r="B55" s="107"/>
      <c r="C55" s="107"/>
      <c r="D55" s="108"/>
      <c r="E55" s="109">
        <v>2</v>
      </c>
      <c r="F55" s="9"/>
      <c r="G55" s="6"/>
    </row>
    <row r="56" spans="1:7" s="4" customFormat="1" ht="15" customHeight="1" x14ac:dyDescent="0.2">
      <c r="A56" s="10"/>
      <c r="B56" s="10"/>
      <c r="C56" s="10"/>
      <c r="D56" s="9"/>
      <c r="E56" s="213"/>
      <c r="F56" s="9"/>
      <c r="G56" s="6"/>
    </row>
    <row r="57" spans="1:7" s="4" customFormat="1" ht="13.5" thickBot="1" x14ac:dyDescent="0.25">
      <c r="A57" s="10"/>
      <c r="B57" s="10"/>
      <c r="C57" s="10"/>
      <c r="D57" s="9"/>
      <c r="E57" s="59"/>
      <c r="F57" s="9"/>
      <c r="G57" s="6"/>
    </row>
    <row r="58" spans="1:7" s="11" customFormat="1" ht="15.75" customHeight="1" thickBot="1" x14ac:dyDescent="0.25">
      <c r="A58" s="218" t="s">
        <v>176</v>
      </c>
      <c r="B58" s="219">
        <v>1</v>
      </c>
      <c r="C58" s="23"/>
      <c r="E58" s="123"/>
      <c r="G58" s="23"/>
    </row>
    <row r="59" spans="1:7" s="4" customFormat="1" ht="15.75" customHeight="1" x14ac:dyDescent="0.2">
      <c r="A59" s="10"/>
      <c r="B59" s="10"/>
      <c r="C59" s="10"/>
      <c r="D59" s="9"/>
      <c r="E59" s="59"/>
      <c r="F59" s="9"/>
      <c r="G59" s="6"/>
    </row>
    <row r="60" spans="1:7" ht="13.15" customHeight="1" x14ac:dyDescent="0.2">
      <c r="A60" s="11" t="s">
        <v>39</v>
      </c>
    </row>
    <row r="61" spans="1:7" ht="11.25" customHeight="1" x14ac:dyDescent="0.2"/>
    <row r="62" spans="1:7" ht="13.9" customHeight="1" thickBot="1" x14ac:dyDescent="0.25">
      <c r="A62" s="7" t="s">
        <v>273</v>
      </c>
    </row>
    <row r="63" spans="1:7" ht="13.9" customHeight="1" thickBot="1" x14ac:dyDescent="0.25">
      <c r="A63" s="51" t="s">
        <v>53</v>
      </c>
      <c r="B63" s="52" t="s">
        <v>54</v>
      </c>
      <c r="C63" s="52" t="s">
        <v>33</v>
      </c>
      <c r="D63" s="53" t="s">
        <v>213</v>
      </c>
      <c r="E63" s="53" t="s">
        <v>55</v>
      </c>
      <c r="F63" s="54" t="s">
        <v>56</v>
      </c>
    </row>
    <row r="64" spans="1:7" ht="13.15" customHeight="1" x14ac:dyDescent="0.2">
      <c r="A64" s="13" t="s">
        <v>193</v>
      </c>
      <c r="B64" s="14" t="s">
        <v>7</v>
      </c>
      <c r="C64" s="14">
        <v>1</v>
      </c>
      <c r="D64" s="75">
        <v>1826.93</v>
      </c>
      <c r="E64" s="15">
        <f>C64*D64</f>
        <v>1826.93</v>
      </c>
    </row>
    <row r="65" spans="1:7" x14ac:dyDescent="0.2">
      <c r="A65" s="16" t="s">
        <v>27</v>
      </c>
      <c r="B65" s="17" t="s">
        <v>0</v>
      </c>
      <c r="C65" s="76">
        <v>0</v>
      </c>
      <c r="D65" s="18">
        <f>D64/220*2</f>
        <v>16.608454545454546</v>
      </c>
      <c r="E65" s="18">
        <f>C65*D65</f>
        <v>0</v>
      </c>
    </row>
    <row r="66" spans="1:7" ht="13.15" customHeight="1" x14ac:dyDescent="0.2">
      <c r="A66" s="16" t="s">
        <v>28</v>
      </c>
      <c r="B66" s="17" t="s">
        <v>0</v>
      </c>
      <c r="C66" s="76">
        <v>0</v>
      </c>
      <c r="D66" s="18">
        <f>D64/220*1.5</f>
        <v>12.456340909090908</v>
      </c>
      <c r="E66" s="18">
        <f>C66*D66</f>
        <v>0</v>
      </c>
    </row>
    <row r="67" spans="1:7" ht="13.15" customHeight="1" x14ac:dyDescent="0.2">
      <c r="A67" s="16" t="s">
        <v>195</v>
      </c>
      <c r="B67" s="17" t="s">
        <v>26</v>
      </c>
      <c r="D67" s="18">
        <f>63/302*(SUM(E65:E66))</f>
        <v>0</v>
      </c>
      <c r="E67" s="18">
        <f>D67</f>
        <v>0</v>
      </c>
    </row>
    <row r="68" spans="1:7" x14ac:dyDescent="0.2">
      <c r="A68" s="16" t="s">
        <v>1</v>
      </c>
      <c r="B68" s="17" t="s">
        <v>2</v>
      </c>
      <c r="C68" s="17">
        <v>40</v>
      </c>
      <c r="D68" s="18">
        <f>SUM(E64:E67)</f>
        <v>1826.93</v>
      </c>
      <c r="E68" s="18">
        <f>C68*D68/100</f>
        <v>730.77199999999993</v>
      </c>
    </row>
    <row r="69" spans="1:7" x14ac:dyDescent="0.2">
      <c r="A69" s="94" t="s">
        <v>3</v>
      </c>
      <c r="B69" s="95"/>
      <c r="C69" s="95"/>
      <c r="D69" s="31"/>
      <c r="E69" s="96">
        <f>SUM(E64:E68)</f>
        <v>2557.7020000000002</v>
      </c>
    </row>
    <row r="70" spans="1:7" x14ac:dyDescent="0.2">
      <c r="A70" s="16" t="s">
        <v>4</v>
      </c>
      <c r="B70" s="17" t="s">
        <v>2</v>
      </c>
      <c r="C70" s="113">
        <v>77.2</v>
      </c>
      <c r="D70" s="18">
        <f>E69</f>
        <v>2557.7020000000002</v>
      </c>
      <c r="E70" s="18">
        <f>D70*C70/100</f>
        <v>1974.5459440000004</v>
      </c>
    </row>
    <row r="71" spans="1:7" x14ac:dyDescent="0.2">
      <c r="A71" s="94" t="s">
        <v>61</v>
      </c>
      <c r="B71" s="95"/>
      <c r="C71" s="95"/>
      <c r="D71" s="31"/>
      <c r="E71" s="96">
        <f>E69+E70</f>
        <v>4532.2479440000006</v>
      </c>
    </row>
    <row r="72" spans="1:7" ht="13.5" thickBot="1" x14ac:dyDescent="0.25">
      <c r="A72" s="16" t="s">
        <v>5</v>
      </c>
      <c r="B72" s="17" t="s">
        <v>6</v>
      </c>
      <c r="C72" s="74">
        <v>0</v>
      </c>
      <c r="D72" s="18">
        <f>E71</f>
        <v>4532.2479440000006</v>
      </c>
      <c r="E72" s="18">
        <f>C72*D72</f>
        <v>0</v>
      </c>
      <c r="G72" s="6"/>
    </row>
    <row r="73" spans="1:7" ht="13.9" customHeight="1" thickBot="1" x14ac:dyDescent="0.25">
      <c r="D73" s="98" t="s">
        <v>175</v>
      </c>
      <c r="E73" s="45">
        <v>1</v>
      </c>
      <c r="F73" s="99">
        <f>E72*E73</f>
        <v>0</v>
      </c>
      <c r="G73" s="6"/>
    </row>
    <row r="74" spans="1:7" ht="11.25" customHeight="1" x14ac:dyDescent="0.2"/>
    <row r="75" spans="1:7" s="12" customFormat="1" ht="13.15" customHeight="1" thickBot="1" x14ac:dyDescent="0.25">
      <c r="A75" s="7" t="s">
        <v>258</v>
      </c>
      <c r="B75" s="9"/>
      <c r="C75" s="9"/>
      <c r="D75" s="10"/>
      <c r="E75" s="10"/>
      <c r="F75" s="10"/>
      <c r="G75" s="10"/>
    </row>
    <row r="76" spans="1:7" ht="13.5" thickBot="1" x14ac:dyDescent="0.25">
      <c r="A76" s="51" t="s">
        <v>53</v>
      </c>
      <c r="B76" s="52" t="s">
        <v>54</v>
      </c>
      <c r="C76" s="52" t="s">
        <v>33</v>
      </c>
      <c r="D76" s="53" t="s">
        <v>213</v>
      </c>
      <c r="E76" s="53" t="s">
        <v>55</v>
      </c>
      <c r="F76" s="54" t="s">
        <v>56</v>
      </c>
    </row>
    <row r="77" spans="1:7" x14ac:dyDescent="0.2">
      <c r="A77" s="240" t="s">
        <v>193</v>
      </c>
      <c r="B77" s="14" t="s">
        <v>7</v>
      </c>
      <c r="C77" s="14">
        <v>1</v>
      </c>
      <c r="D77" s="75">
        <v>1555.34</v>
      </c>
      <c r="E77" s="15">
        <f>C77*D77</f>
        <v>1555.34</v>
      </c>
    </row>
    <row r="78" spans="1:7" x14ac:dyDescent="0.2">
      <c r="A78" s="240" t="s">
        <v>246</v>
      </c>
      <c r="B78" s="14" t="s">
        <v>7</v>
      </c>
      <c r="C78" s="14">
        <v>1</v>
      </c>
      <c r="D78" s="75">
        <v>954</v>
      </c>
      <c r="E78" s="15"/>
    </row>
    <row r="79" spans="1:7" x14ac:dyDescent="0.2">
      <c r="A79" s="16" t="s">
        <v>27</v>
      </c>
      <c r="B79" s="17" t="s">
        <v>0</v>
      </c>
      <c r="C79" s="76">
        <v>0</v>
      </c>
      <c r="D79" s="18">
        <f>D77/220*2</f>
        <v>14.139454545454544</v>
      </c>
      <c r="E79" s="18">
        <f>C79*D79</f>
        <v>0</v>
      </c>
    </row>
    <row r="80" spans="1:7" ht="13.15" customHeight="1" x14ac:dyDescent="0.2">
      <c r="A80" s="16" t="s">
        <v>28</v>
      </c>
      <c r="B80" s="17" t="s">
        <v>0</v>
      </c>
      <c r="C80" s="76">
        <v>0</v>
      </c>
      <c r="D80" s="18">
        <f>D77/220*1.5</f>
        <v>10.604590909090909</v>
      </c>
      <c r="E80" s="18">
        <f>C80*D80</f>
        <v>0</v>
      </c>
    </row>
    <row r="81" spans="1:7" x14ac:dyDescent="0.2">
      <c r="A81" s="16" t="s">
        <v>195</v>
      </c>
      <c r="B81" s="17" t="s">
        <v>26</v>
      </c>
      <c r="D81" s="18">
        <f>63/302*(SUM(E79:E80))</f>
        <v>0</v>
      </c>
      <c r="E81" s="18">
        <f>D81</f>
        <v>0</v>
      </c>
    </row>
    <row r="82" spans="1:7" x14ac:dyDescent="0.2">
      <c r="A82" s="16" t="s">
        <v>194</v>
      </c>
      <c r="B82" s="17"/>
      <c r="C82" s="78">
        <v>2</v>
      </c>
      <c r="D82" s="18"/>
      <c r="E82" s="18"/>
    </row>
    <row r="83" spans="1:7" s="11" customFormat="1" x14ac:dyDescent="0.2">
      <c r="A83" s="16" t="s">
        <v>1</v>
      </c>
      <c r="B83" s="17" t="s">
        <v>2</v>
      </c>
      <c r="C83" s="74">
        <v>20</v>
      </c>
      <c r="D83" s="18">
        <f>IF(C82=2,SUM(E77:E81),IF(C82=1,(SUM(E77:E81))*D78/D77,0))</f>
        <v>1555.34</v>
      </c>
      <c r="E83" s="18">
        <f>C83*D83/100</f>
        <v>311.06799999999998</v>
      </c>
      <c r="F83" s="10"/>
      <c r="G83" s="23"/>
    </row>
    <row r="84" spans="1:7" x14ac:dyDescent="0.2">
      <c r="A84" s="86" t="s">
        <v>3</v>
      </c>
      <c r="B84" s="95"/>
      <c r="C84" s="95"/>
      <c r="D84" s="31"/>
      <c r="E84" s="88">
        <f>SUM(E77:E83)</f>
        <v>1866.4079999999999</v>
      </c>
      <c r="F84" s="23"/>
    </row>
    <row r="85" spans="1:7" s="11" customFormat="1" x14ac:dyDescent="0.2">
      <c r="A85" s="16" t="s">
        <v>4</v>
      </c>
      <c r="B85" s="17" t="s">
        <v>2</v>
      </c>
      <c r="C85" s="18">
        <v>77.2</v>
      </c>
      <c r="D85" s="18">
        <f>E84</f>
        <v>1866.4079999999999</v>
      </c>
      <c r="E85" s="18">
        <f>D85*C85/100</f>
        <v>1440.8669759999998</v>
      </c>
      <c r="F85" s="10"/>
      <c r="G85" s="23"/>
    </row>
    <row r="86" spans="1:7" x14ac:dyDescent="0.2">
      <c r="A86" s="86" t="s">
        <v>228</v>
      </c>
      <c r="B86" s="225"/>
      <c r="C86" s="225"/>
      <c r="D86" s="226"/>
      <c r="E86" s="88">
        <f>E84+E85</f>
        <v>3307.2749759999997</v>
      </c>
      <c r="F86" s="23"/>
    </row>
    <row r="87" spans="1:7" ht="13.5" thickBot="1" x14ac:dyDescent="0.25">
      <c r="A87" s="16" t="s">
        <v>5</v>
      </c>
      <c r="B87" s="17" t="s">
        <v>6</v>
      </c>
      <c r="C87" s="74">
        <v>0</v>
      </c>
      <c r="D87" s="18">
        <f>E86</f>
        <v>3307.2749759999997</v>
      </c>
      <c r="E87" s="18">
        <f>C87*D87</f>
        <v>0</v>
      </c>
    </row>
    <row r="88" spans="1:7" ht="11.25" customHeight="1" thickBot="1" x14ac:dyDescent="0.25">
      <c r="A88" s="244" t="s">
        <v>247</v>
      </c>
      <c r="D88" s="98" t="s">
        <v>175</v>
      </c>
      <c r="E88" s="45">
        <v>1</v>
      </c>
      <c r="F88" s="99">
        <f>E87*E88</f>
        <v>0</v>
      </c>
    </row>
    <row r="90" spans="1:7" ht="13.5" thickBot="1" x14ac:dyDescent="0.25">
      <c r="A90" s="7" t="s">
        <v>276</v>
      </c>
    </row>
    <row r="91" spans="1:7" ht="13.5" thickBot="1" x14ac:dyDescent="0.25">
      <c r="A91" s="51" t="s">
        <v>53</v>
      </c>
      <c r="B91" s="52" t="s">
        <v>54</v>
      </c>
      <c r="C91" s="52" t="s">
        <v>33</v>
      </c>
      <c r="D91" s="53" t="s">
        <v>213</v>
      </c>
      <c r="E91" s="53" t="s">
        <v>55</v>
      </c>
      <c r="F91" s="54" t="s">
        <v>56</v>
      </c>
    </row>
    <row r="92" spans="1:7" x14ac:dyDescent="0.2">
      <c r="A92" s="13" t="s">
        <v>193</v>
      </c>
      <c r="B92" s="14" t="s">
        <v>7</v>
      </c>
      <c r="C92" s="14">
        <v>1</v>
      </c>
      <c r="D92" s="75">
        <v>1919.55</v>
      </c>
      <c r="E92" s="15">
        <f>C92*D92</f>
        <v>1919.55</v>
      </c>
    </row>
    <row r="93" spans="1:7" x14ac:dyDescent="0.2">
      <c r="A93" s="16" t="s">
        <v>27</v>
      </c>
      <c r="B93" s="17" t="s">
        <v>0</v>
      </c>
      <c r="C93" s="76">
        <v>2</v>
      </c>
      <c r="D93" s="18">
        <f>D92/30*2</f>
        <v>127.97</v>
      </c>
      <c r="E93" s="18">
        <f>C93*D93</f>
        <v>255.94</v>
      </c>
    </row>
    <row r="94" spans="1:7" s="11" customFormat="1" x14ac:dyDescent="0.2">
      <c r="A94" s="16" t="s">
        <v>28</v>
      </c>
      <c r="B94" s="17" t="s">
        <v>0</v>
      </c>
      <c r="C94" s="76">
        <v>2</v>
      </c>
      <c r="D94" s="18">
        <f>D92/30*1.5</f>
        <v>95.977499999999992</v>
      </c>
      <c r="E94" s="18">
        <f>C94*D94</f>
        <v>191.95499999999998</v>
      </c>
      <c r="F94" s="10"/>
      <c r="G94" s="23"/>
    </row>
    <row r="95" spans="1:7" x14ac:dyDescent="0.2">
      <c r="A95" s="94" t="s">
        <v>3</v>
      </c>
      <c r="B95" s="95"/>
      <c r="C95" s="95"/>
      <c r="D95" s="31"/>
      <c r="E95" s="96">
        <f>SUM(E92:E94)</f>
        <v>2367.4449999999997</v>
      </c>
      <c r="F95" s="23"/>
    </row>
    <row r="96" spans="1:7" s="11" customFormat="1" x14ac:dyDescent="0.2">
      <c r="A96" s="16" t="s">
        <v>4</v>
      </c>
      <c r="B96" s="17" t="s">
        <v>2</v>
      </c>
      <c r="C96" s="18">
        <v>77.2</v>
      </c>
      <c r="D96" s="18">
        <f>E95</f>
        <v>2367.4449999999997</v>
      </c>
      <c r="E96" s="18">
        <f>D96*C96/100</f>
        <v>1827.6675399999999</v>
      </c>
      <c r="F96" s="10"/>
      <c r="G96" s="23"/>
    </row>
    <row r="97" spans="1:7" x14ac:dyDescent="0.2">
      <c r="A97" s="94" t="s">
        <v>228</v>
      </c>
      <c r="B97" s="95"/>
      <c r="C97" s="95"/>
      <c r="D97" s="31"/>
      <c r="E97" s="96">
        <f>E95+E96</f>
        <v>4195.1125400000001</v>
      </c>
      <c r="F97" s="23"/>
    </row>
    <row r="98" spans="1:7" ht="13.5" thickBot="1" x14ac:dyDescent="0.25">
      <c r="A98" s="16" t="s">
        <v>5</v>
      </c>
      <c r="B98" s="17" t="s">
        <v>6</v>
      </c>
      <c r="C98" s="74">
        <v>2</v>
      </c>
      <c r="D98" s="18">
        <f>E97</f>
        <v>4195.1125400000001</v>
      </c>
      <c r="E98" s="18">
        <f>C98*D98</f>
        <v>8390.2250800000002</v>
      </c>
    </row>
    <row r="99" spans="1:7" ht="11.25" customHeight="1" thickBot="1" x14ac:dyDescent="0.25">
      <c r="D99" s="98" t="s">
        <v>175</v>
      </c>
      <c r="E99" s="45">
        <v>1</v>
      </c>
      <c r="F99" s="99">
        <f>E98*E99</f>
        <v>8390.2250800000002</v>
      </c>
      <c r="G99" s="9"/>
    </row>
    <row r="100" spans="1:7" x14ac:dyDescent="0.2">
      <c r="G100" s="9"/>
    </row>
    <row r="101" spans="1:7" ht="13.5" thickBot="1" x14ac:dyDescent="0.25">
      <c r="A101" s="7" t="s">
        <v>241</v>
      </c>
      <c r="B101" s="81"/>
      <c r="D101" s="9"/>
      <c r="E101" s="9"/>
      <c r="G101" s="9"/>
    </row>
    <row r="102" spans="1:7" ht="13.5" thickBot="1" x14ac:dyDescent="0.25">
      <c r="A102" s="51" t="s">
        <v>53</v>
      </c>
      <c r="B102" s="52" t="s">
        <v>54</v>
      </c>
      <c r="C102" s="52" t="s">
        <v>33</v>
      </c>
      <c r="D102" s="53" t="s">
        <v>213</v>
      </c>
      <c r="E102" s="53" t="s">
        <v>55</v>
      </c>
      <c r="F102" s="54" t="s">
        <v>56</v>
      </c>
      <c r="G102" s="9"/>
    </row>
    <row r="103" spans="1:7" x14ac:dyDescent="0.2">
      <c r="A103" s="16" t="s">
        <v>78</v>
      </c>
      <c r="B103" s="17" t="s">
        <v>26</v>
      </c>
      <c r="C103" s="82">
        <v>2</v>
      </c>
      <c r="D103" s="80">
        <v>3.75</v>
      </c>
      <c r="E103" s="18">
        <f>D103*C103</f>
        <v>7.5</v>
      </c>
      <c r="G103" s="9"/>
    </row>
    <row r="104" spans="1:7" x14ac:dyDescent="0.2">
      <c r="A104" s="16" t="s">
        <v>79</v>
      </c>
      <c r="B104" s="17" t="s">
        <v>80</v>
      </c>
      <c r="C104" s="79">
        <v>26</v>
      </c>
      <c r="D104" s="18"/>
      <c r="E104" s="18"/>
      <c r="G104" s="9"/>
    </row>
    <row r="105" spans="1:7" x14ac:dyDescent="0.2">
      <c r="A105" s="239" t="s">
        <v>260</v>
      </c>
      <c r="B105" s="17" t="s">
        <v>8</v>
      </c>
      <c r="C105" s="34">
        <v>0</v>
      </c>
      <c r="D105" s="15">
        <v>2.34</v>
      </c>
      <c r="E105" s="18">
        <f>IFERROR(C105*D105,"-")</f>
        <v>0</v>
      </c>
      <c r="G105" s="9"/>
    </row>
    <row r="106" spans="1:7" ht="13.5" thickBot="1" x14ac:dyDescent="0.25">
      <c r="A106" s="240" t="s">
        <v>277</v>
      </c>
      <c r="B106" s="14" t="s">
        <v>8</v>
      </c>
      <c r="C106" s="34">
        <f>C98*C104*C103</f>
        <v>104</v>
      </c>
      <c r="D106" s="15">
        <v>1.71</v>
      </c>
      <c r="E106" s="15">
        <f>IFERROR(C106*D106,"-")</f>
        <v>177.84</v>
      </c>
      <c r="G106" s="9"/>
    </row>
    <row r="107" spans="1:7" ht="11.25" customHeight="1" thickBot="1" x14ac:dyDescent="0.25">
      <c r="F107" s="22">
        <f>SUM(E105:E106)</f>
        <v>177.84</v>
      </c>
      <c r="G107" s="9"/>
    </row>
    <row r="108" spans="1:7" x14ac:dyDescent="0.2">
      <c r="G108" s="9"/>
    </row>
    <row r="109" spans="1:7" ht="13.5" thickBot="1" x14ac:dyDescent="0.25">
      <c r="A109" s="7" t="s">
        <v>242</v>
      </c>
      <c r="F109" s="23"/>
      <c r="G109" s="9"/>
    </row>
    <row r="110" spans="1:7" ht="13.5" thickBot="1" x14ac:dyDescent="0.25">
      <c r="A110" s="51" t="s">
        <v>53</v>
      </c>
      <c r="B110" s="52" t="s">
        <v>54</v>
      </c>
      <c r="C110" s="52" t="s">
        <v>33</v>
      </c>
      <c r="D110" s="53" t="s">
        <v>213</v>
      </c>
      <c r="E110" s="53" t="s">
        <v>55</v>
      </c>
      <c r="F110" s="54" t="s">
        <v>56</v>
      </c>
      <c r="G110" s="9"/>
    </row>
    <row r="111" spans="1:7" x14ac:dyDescent="0.2">
      <c r="A111" s="239" t="s">
        <v>240</v>
      </c>
      <c r="B111" s="17" t="s">
        <v>9</v>
      </c>
      <c r="C111" s="34">
        <v>0</v>
      </c>
      <c r="D111" s="77">
        <v>16</v>
      </c>
      <c r="E111" s="45">
        <f>C111*D111</f>
        <v>0</v>
      </c>
      <c r="F111" s="23"/>
      <c r="G111" s="9"/>
    </row>
    <row r="112" spans="1:7" ht="13.5" thickBot="1" x14ac:dyDescent="0.25">
      <c r="A112" s="239" t="s">
        <v>277</v>
      </c>
      <c r="B112" s="17" t="s">
        <v>9</v>
      </c>
      <c r="C112" s="34">
        <f>C98*C104</f>
        <v>52</v>
      </c>
      <c r="D112" s="77">
        <v>17.41</v>
      </c>
      <c r="E112" s="45">
        <f>C112*D112</f>
        <v>905.32</v>
      </c>
      <c r="F112" s="23"/>
      <c r="G112" s="9"/>
    </row>
    <row r="113" spans="1:7" ht="13.5" thickBot="1" x14ac:dyDescent="0.25">
      <c r="F113" s="22">
        <f>SUM(E111:E112)</f>
        <v>905.32</v>
      </c>
      <c r="G113" s="9"/>
    </row>
    <row r="114" spans="1:7" x14ac:dyDescent="0.2">
      <c r="G114" s="9"/>
    </row>
    <row r="115" spans="1:7" ht="13.5" thickBot="1" x14ac:dyDescent="0.25">
      <c r="A115" s="7" t="s">
        <v>243</v>
      </c>
      <c r="F115" s="23"/>
      <c r="G115" s="9"/>
    </row>
    <row r="116" spans="1:7" ht="13.5" thickBot="1" x14ac:dyDescent="0.25">
      <c r="A116" s="51" t="s">
        <v>53</v>
      </c>
      <c r="B116" s="52" t="s">
        <v>54</v>
      </c>
      <c r="C116" s="52" t="s">
        <v>33</v>
      </c>
      <c r="D116" s="53" t="s">
        <v>213</v>
      </c>
      <c r="E116" s="53" t="s">
        <v>55</v>
      </c>
      <c r="F116" s="54" t="s">
        <v>56</v>
      </c>
      <c r="G116" s="9"/>
    </row>
    <row r="117" spans="1:7" x14ac:dyDescent="0.2">
      <c r="A117" s="239" t="s">
        <v>240</v>
      </c>
      <c r="B117" s="17" t="s">
        <v>9</v>
      </c>
      <c r="C117" s="34"/>
      <c r="D117" s="77">
        <v>0</v>
      </c>
      <c r="E117" s="45">
        <f>C117*D117</f>
        <v>0</v>
      </c>
      <c r="F117" s="23"/>
      <c r="G117" s="9"/>
    </row>
    <row r="118" spans="1:7" ht="13.5" thickBot="1" x14ac:dyDescent="0.25">
      <c r="A118" s="16" t="str">
        <f>+A112</f>
        <v>Motorista</v>
      </c>
      <c r="B118" s="17" t="s">
        <v>9</v>
      </c>
      <c r="C118" s="34"/>
      <c r="D118" s="77">
        <v>0</v>
      </c>
      <c r="E118" s="45">
        <f>C118*D118</f>
        <v>0</v>
      </c>
      <c r="F118" s="23"/>
      <c r="G118" s="9"/>
    </row>
    <row r="119" spans="1:7" ht="13.5" thickBot="1" x14ac:dyDescent="0.25">
      <c r="D119" s="98" t="s">
        <v>175</v>
      </c>
      <c r="E119" s="45">
        <f>$B$58</f>
        <v>1</v>
      </c>
      <c r="F119" s="22">
        <f>SUM(E117:E118)*E119</f>
        <v>0</v>
      </c>
      <c r="G119" s="9"/>
    </row>
    <row r="120" spans="1:7" ht="13.5" thickBot="1" x14ac:dyDescent="0.25">
      <c r="G120" s="9"/>
    </row>
    <row r="121" spans="1:7" ht="13.5" thickBot="1" x14ac:dyDescent="0.25">
      <c r="A121" s="24" t="s">
        <v>81</v>
      </c>
      <c r="B121" s="25"/>
      <c r="C121" s="25"/>
      <c r="D121" s="26"/>
      <c r="E121" s="27"/>
      <c r="F121" s="22">
        <f>F119+F113+F107+F99+F88+F73</f>
        <v>9473.38508</v>
      </c>
    </row>
    <row r="122" spans="1:7" x14ac:dyDescent="0.2">
      <c r="G122" s="9"/>
    </row>
    <row r="123" spans="1:7" ht="11.25" customHeight="1" x14ac:dyDescent="0.2">
      <c r="A123" s="11" t="s">
        <v>37</v>
      </c>
      <c r="G123" s="9"/>
    </row>
    <row r="124" spans="1:7" ht="13.9" customHeight="1" x14ac:dyDescent="0.2">
      <c r="G124" s="9"/>
    </row>
    <row r="125" spans="1:7" ht="11.25" customHeight="1" x14ac:dyDescent="0.2">
      <c r="A125" s="9" t="s">
        <v>177</v>
      </c>
      <c r="G125" s="9"/>
    </row>
    <row r="126" spans="1:7" ht="13.5" thickBot="1" x14ac:dyDescent="0.25">
      <c r="G126" s="9"/>
    </row>
    <row r="127" spans="1:7" ht="24.75" thickBot="1" x14ac:dyDescent="0.25">
      <c r="A127" s="51" t="s">
        <v>53</v>
      </c>
      <c r="B127" s="52" t="s">
        <v>54</v>
      </c>
      <c r="C127" s="227" t="s">
        <v>230</v>
      </c>
      <c r="D127" s="53" t="s">
        <v>213</v>
      </c>
      <c r="E127" s="53" t="s">
        <v>55</v>
      </c>
      <c r="F127" s="54" t="s">
        <v>56</v>
      </c>
      <c r="G127" s="9"/>
    </row>
    <row r="128" spans="1:7" ht="13.15" customHeight="1" x14ac:dyDescent="0.2">
      <c r="A128" s="13" t="s">
        <v>57</v>
      </c>
      <c r="B128" s="14" t="s">
        <v>9</v>
      </c>
      <c r="C128" s="261">
        <v>12</v>
      </c>
      <c r="D128" s="75">
        <v>46</v>
      </c>
      <c r="E128" s="15">
        <f>IFERROR(D128/C128,0)</f>
        <v>3.8333333333333335</v>
      </c>
      <c r="G128" s="9"/>
    </row>
    <row r="129" spans="1:7" x14ac:dyDescent="0.2">
      <c r="A129" s="16" t="s">
        <v>22</v>
      </c>
      <c r="B129" s="17" t="s">
        <v>9</v>
      </c>
      <c r="C129" s="261">
        <v>1</v>
      </c>
      <c r="D129" s="75">
        <v>32</v>
      </c>
      <c r="E129" s="15">
        <f t="shared" ref="E129:E137" si="1">IFERROR(D129/C129,0)</f>
        <v>32</v>
      </c>
      <c r="G129" s="9"/>
    </row>
    <row r="130" spans="1:7" ht="13.15" customHeight="1" x14ac:dyDescent="0.2">
      <c r="A130" s="16" t="s">
        <v>23</v>
      </c>
      <c r="B130" s="17" t="s">
        <v>9</v>
      </c>
      <c r="C130" s="261">
        <v>1</v>
      </c>
      <c r="D130" s="75">
        <v>26</v>
      </c>
      <c r="E130" s="15">
        <f t="shared" si="1"/>
        <v>26</v>
      </c>
      <c r="G130" s="9"/>
    </row>
    <row r="131" spans="1:7" ht="13.9" customHeight="1" x14ac:dyDescent="0.2">
      <c r="A131" s="16" t="s">
        <v>24</v>
      </c>
      <c r="B131" s="17" t="s">
        <v>9</v>
      </c>
      <c r="C131" s="261">
        <v>6</v>
      </c>
      <c r="D131" s="75">
        <v>9</v>
      </c>
      <c r="E131" s="15">
        <f t="shared" si="1"/>
        <v>1.5</v>
      </c>
      <c r="G131" s="9"/>
    </row>
    <row r="132" spans="1:7" ht="13.15" customHeight="1" x14ac:dyDescent="0.2">
      <c r="A132" s="239" t="s">
        <v>255</v>
      </c>
      <c r="B132" s="17" t="s">
        <v>40</v>
      </c>
      <c r="C132" s="261">
        <v>4</v>
      </c>
      <c r="D132" s="75">
        <v>28</v>
      </c>
      <c r="E132" s="15">
        <f t="shared" si="1"/>
        <v>7</v>
      </c>
    </row>
    <row r="133" spans="1:7" x14ac:dyDescent="0.2">
      <c r="A133" s="16" t="s">
        <v>82</v>
      </c>
      <c r="B133" s="17" t="s">
        <v>40</v>
      </c>
      <c r="C133" s="261">
        <v>3</v>
      </c>
      <c r="D133" s="75">
        <v>6</v>
      </c>
      <c r="E133" s="15">
        <f t="shared" si="1"/>
        <v>2</v>
      </c>
    </row>
    <row r="134" spans="1:7" s="1" customFormat="1" x14ac:dyDescent="0.2">
      <c r="A134" s="16" t="s">
        <v>58</v>
      </c>
      <c r="B134" s="17" t="s">
        <v>9</v>
      </c>
      <c r="C134" s="261">
        <v>3</v>
      </c>
      <c r="D134" s="75">
        <v>32.5</v>
      </c>
      <c r="E134" s="15">
        <f t="shared" si="1"/>
        <v>10.833333333333334</v>
      </c>
      <c r="F134" s="10"/>
      <c r="G134" s="35"/>
    </row>
    <row r="135" spans="1:7" x14ac:dyDescent="0.2">
      <c r="A135" s="2" t="s">
        <v>10</v>
      </c>
      <c r="B135" s="3" t="s">
        <v>9</v>
      </c>
      <c r="C135" s="261">
        <v>4</v>
      </c>
      <c r="D135" s="75">
        <v>14</v>
      </c>
      <c r="E135" s="15">
        <f t="shared" si="1"/>
        <v>3.5</v>
      </c>
      <c r="F135" s="35"/>
    </row>
    <row r="136" spans="1:7" ht="13.15" customHeight="1" x14ac:dyDescent="0.2">
      <c r="A136" s="16" t="s">
        <v>25</v>
      </c>
      <c r="B136" s="17" t="s">
        <v>40</v>
      </c>
      <c r="C136" s="85">
        <v>0.25</v>
      </c>
      <c r="D136" s="75">
        <v>28</v>
      </c>
      <c r="E136" s="15">
        <f t="shared" si="1"/>
        <v>112</v>
      </c>
    </row>
    <row r="137" spans="1:7" x14ac:dyDescent="0.2">
      <c r="A137" s="16" t="s">
        <v>52</v>
      </c>
      <c r="B137" s="17" t="s">
        <v>41</v>
      </c>
      <c r="C137" s="261">
        <v>1</v>
      </c>
      <c r="D137" s="75">
        <v>20.5</v>
      </c>
      <c r="E137" s="15">
        <f t="shared" si="1"/>
        <v>20.5</v>
      </c>
    </row>
    <row r="138" spans="1:7" x14ac:dyDescent="0.2">
      <c r="A138" s="239" t="s">
        <v>256</v>
      </c>
      <c r="B138" s="255" t="s">
        <v>254</v>
      </c>
      <c r="C138" s="261">
        <v>1</v>
      </c>
      <c r="D138" s="75">
        <v>60</v>
      </c>
      <c r="E138" s="15">
        <f>IFERROR(D138/C138,0)</f>
        <v>60</v>
      </c>
    </row>
    <row r="139" spans="1:7" ht="13.5" thickBot="1" x14ac:dyDescent="0.25">
      <c r="A139" s="16" t="s">
        <v>5</v>
      </c>
      <c r="B139" s="17" t="s">
        <v>6</v>
      </c>
      <c r="C139" s="60">
        <f>E49</f>
        <v>0</v>
      </c>
      <c r="D139" s="18">
        <f>+SUM(E128:E138)</f>
        <v>279.16666666666669</v>
      </c>
      <c r="E139" s="18">
        <f>C139*D139</f>
        <v>0</v>
      </c>
    </row>
    <row r="140" spans="1:7" ht="11.25" customHeight="1" thickBot="1" x14ac:dyDescent="0.25">
      <c r="D140" s="98" t="s">
        <v>175</v>
      </c>
      <c r="E140" s="45">
        <v>1</v>
      </c>
      <c r="F140" s="99">
        <f>E139*E140</f>
        <v>0</v>
      </c>
    </row>
    <row r="141" spans="1:7" ht="13.9" customHeight="1" x14ac:dyDescent="0.2"/>
    <row r="142" spans="1:7" ht="11.25" customHeight="1" x14ac:dyDescent="0.2">
      <c r="A142" s="7" t="s">
        <v>278</v>
      </c>
    </row>
    <row r="143" spans="1:7" ht="13.5" thickBot="1" x14ac:dyDescent="0.25"/>
    <row r="144" spans="1:7" ht="24.75" thickBot="1" x14ac:dyDescent="0.25">
      <c r="A144" s="51" t="s">
        <v>53</v>
      </c>
      <c r="B144" s="52" t="s">
        <v>54</v>
      </c>
      <c r="C144" s="227" t="s">
        <v>230</v>
      </c>
      <c r="D144" s="53" t="s">
        <v>213</v>
      </c>
      <c r="E144" s="53" t="s">
        <v>55</v>
      </c>
      <c r="F144" s="54" t="s">
        <v>56</v>
      </c>
    </row>
    <row r="145" spans="1:7" x14ac:dyDescent="0.2">
      <c r="A145" s="13" t="s">
        <v>57</v>
      </c>
      <c r="B145" s="14" t="s">
        <v>9</v>
      </c>
      <c r="C145" s="85">
        <v>12</v>
      </c>
      <c r="D145" s="15">
        <f>+D128</f>
        <v>46</v>
      </c>
      <c r="E145" s="15">
        <f>IFERROR(D145/C145,0)</f>
        <v>3.8333333333333335</v>
      </c>
    </row>
    <row r="146" spans="1:7" x14ac:dyDescent="0.2">
      <c r="A146" s="16" t="s">
        <v>22</v>
      </c>
      <c r="B146" s="17" t="s">
        <v>9</v>
      </c>
      <c r="C146" s="85">
        <v>4</v>
      </c>
      <c r="D146" s="18">
        <f>+D129</f>
        <v>32</v>
      </c>
      <c r="E146" s="15">
        <f t="shared" ref="E146:E150" si="2">IFERROR(D146/C146,0)</f>
        <v>8</v>
      </c>
    </row>
    <row r="147" spans="1:7" x14ac:dyDescent="0.2">
      <c r="A147" s="16" t="s">
        <v>23</v>
      </c>
      <c r="B147" s="17" t="s">
        <v>9</v>
      </c>
      <c r="C147" s="85">
        <v>2</v>
      </c>
      <c r="D147" s="18">
        <f>+D130</f>
        <v>26</v>
      </c>
      <c r="E147" s="15">
        <f t="shared" si="2"/>
        <v>13</v>
      </c>
    </row>
    <row r="148" spans="1:7" x14ac:dyDescent="0.2">
      <c r="A148" s="239" t="s">
        <v>236</v>
      </c>
      <c r="B148" s="17" t="s">
        <v>40</v>
      </c>
      <c r="C148" s="85">
        <v>4</v>
      </c>
      <c r="D148" s="18">
        <f>+D132</f>
        <v>28</v>
      </c>
      <c r="E148" s="15">
        <f t="shared" si="2"/>
        <v>7</v>
      </c>
      <c r="G148" s="9"/>
    </row>
    <row r="149" spans="1:7" x14ac:dyDescent="0.2">
      <c r="A149" s="16" t="s">
        <v>58</v>
      </c>
      <c r="B149" s="17" t="s">
        <v>9</v>
      </c>
      <c r="C149" s="85">
        <v>4</v>
      </c>
      <c r="D149" s="18">
        <f>+D134</f>
        <v>32.5</v>
      </c>
      <c r="E149" s="15">
        <f t="shared" si="2"/>
        <v>8.125</v>
      </c>
      <c r="G149" s="9"/>
    </row>
    <row r="150" spans="1:7" x14ac:dyDescent="0.2">
      <c r="A150" s="16" t="s">
        <v>52</v>
      </c>
      <c r="B150" s="17" t="s">
        <v>41</v>
      </c>
      <c r="C150" s="85">
        <v>2</v>
      </c>
      <c r="D150" s="18">
        <v>20.5</v>
      </c>
      <c r="E150" s="15">
        <f t="shared" si="2"/>
        <v>10.25</v>
      </c>
      <c r="G150" s="9"/>
    </row>
    <row r="151" spans="1:7" x14ac:dyDescent="0.2">
      <c r="A151" s="239" t="s">
        <v>253</v>
      </c>
      <c r="B151" s="255" t="s">
        <v>254</v>
      </c>
      <c r="C151" s="85">
        <v>1</v>
      </c>
      <c r="D151" s="18">
        <v>60</v>
      </c>
      <c r="E151" s="15">
        <v>60</v>
      </c>
      <c r="G151" s="9"/>
    </row>
    <row r="152" spans="1:7" ht="13.5" thickBot="1" x14ac:dyDescent="0.25">
      <c r="A152" s="16" t="s">
        <v>5</v>
      </c>
      <c r="B152" s="17" t="s">
        <v>6</v>
      </c>
      <c r="C152" s="60">
        <v>2</v>
      </c>
      <c r="D152" s="18">
        <f>+SUM(E145:E151)</f>
        <v>110.20833333333334</v>
      </c>
      <c r="E152" s="18">
        <f t="shared" ref="E152" si="3">C152*D152</f>
        <v>220.41666666666669</v>
      </c>
      <c r="G152" s="9"/>
    </row>
    <row r="153" spans="1:7" ht="11.25" customHeight="1" thickBot="1" x14ac:dyDescent="0.25">
      <c r="D153" s="98" t="s">
        <v>175</v>
      </c>
      <c r="E153" s="45">
        <v>1</v>
      </c>
      <c r="F153" s="99">
        <f>E152*E153</f>
        <v>220.41666666666669</v>
      </c>
      <c r="G153" s="9"/>
    </row>
    <row r="154" spans="1:7" ht="13.5" thickBot="1" x14ac:dyDescent="0.25">
      <c r="G154" s="9"/>
    </row>
    <row r="155" spans="1:7" ht="11.25" customHeight="1" thickBot="1" x14ac:dyDescent="0.25">
      <c r="A155" s="24" t="s">
        <v>178</v>
      </c>
      <c r="B155" s="28"/>
      <c r="C155" s="28"/>
      <c r="D155" s="29"/>
      <c r="E155" s="30"/>
      <c r="F155" s="21">
        <f>+F140+F153</f>
        <v>220.41666666666669</v>
      </c>
      <c r="G155" s="9"/>
    </row>
    <row r="156" spans="1:7" x14ac:dyDescent="0.2">
      <c r="G156" s="9"/>
    </row>
    <row r="157" spans="1:7" ht="11.25" customHeight="1" x14ac:dyDescent="0.2">
      <c r="A157" s="11" t="s">
        <v>45</v>
      </c>
      <c r="G157" s="9"/>
    </row>
    <row r="158" spans="1:7" x14ac:dyDescent="0.2">
      <c r="B158" s="89"/>
      <c r="G158" s="9"/>
    </row>
    <row r="159" spans="1:7" ht="11.25" customHeight="1" x14ac:dyDescent="0.2">
      <c r="A159" s="7" t="s">
        <v>261</v>
      </c>
      <c r="G159" s="9"/>
    </row>
    <row r="160" spans="1:7" x14ac:dyDescent="0.2">
      <c r="G160" s="9"/>
    </row>
    <row r="161" spans="1:10" ht="13.5" thickBot="1" x14ac:dyDescent="0.25">
      <c r="A161" s="89" t="s">
        <v>38</v>
      </c>
      <c r="G161" s="9"/>
    </row>
    <row r="162" spans="1:10" ht="13.5" thickBot="1" x14ac:dyDescent="0.25">
      <c r="A162" s="51" t="s">
        <v>53</v>
      </c>
      <c r="B162" s="52" t="s">
        <v>54</v>
      </c>
      <c r="C162" s="52" t="s">
        <v>33</v>
      </c>
      <c r="D162" s="53" t="s">
        <v>213</v>
      </c>
      <c r="E162" s="53" t="s">
        <v>55</v>
      </c>
      <c r="F162" s="54" t="s">
        <v>56</v>
      </c>
      <c r="G162" s="9"/>
    </row>
    <row r="163" spans="1:10" x14ac:dyDescent="0.2">
      <c r="A163" s="240" t="s">
        <v>262</v>
      </c>
      <c r="B163" s="14" t="s">
        <v>9</v>
      </c>
      <c r="C163" s="14">
        <v>2</v>
      </c>
      <c r="D163" s="75">
        <v>395500</v>
      </c>
      <c r="E163" s="15">
        <f>C163*D163</f>
        <v>791000</v>
      </c>
      <c r="G163" s="9"/>
    </row>
    <row r="164" spans="1:10" x14ac:dyDescent="0.2">
      <c r="A164" s="16" t="s">
        <v>85</v>
      </c>
      <c r="B164" s="17" t="s">
        <v>86</v>
      </c>
      <c r="C164" s="74">
        <v>10</v>
      </c>
      <c r="D164" s="18"/>
      <c r="E164" s="18"/>
      <c r="I164" s="73"/>
      <c r="J164" s="73"/>
    </row>
    <row r="165" spans="1:10" x14ac:dyDescent="0.2">
      <c r="A165" s="16" t="s">
        <v>190</v>
      </c>
      <c r="B165" s="17" t="s">
        <v>86</v>
      </c>
      <c r="C165" s="74">
        <v>5</v>
      </c>
      <c r="D165" s="18"/>
      <c r="E165" s="18"/>
      <c r="F165" s="20"/>
    </row>
    <row r="166" spans="1:10" x14ac:dyDescent="0.2">
      <c r="A166" s="16" t="s">
        <v>88</v>
      </c>
      <c r="B166" s="17" t="s">
        <v>2</v>
      </c>
      <c r="C166" s="113">
        <f>IFERROR(VLOOKUP(C164,'5. Depreciação'!A3:B17,2,FALSE),0)</f>
        <v>65.180000000000007</v>
      </c>
      <c r="D166" s="18">
        <f>E163</f>
        <v>791000</v>
      </c>
      <c r="E166" s="18">
        <f>C166*D166/100</f>
        <v>515573.80000000005</v>
      </c>
    </row>
    <row r="167" spans="1:10" ht="13.5" thickBot="1" x14ac:dyDescent="0.25">
      <c r="A167" s="236" t="s">
        <v>284</v>
      </c>
      <c r="B167" s="237" t="s">
        <v>7</v>
      </c>
      <c r="C167" s="237">
        <f>C164*12</f>
        <v>120</v>
      </c>
      <c r="D167" s="238">
        <f>IF(C165&lt;=C164,E166,0)</f>
        <v>515573.80000000005</v>
      </c>
      <c r="E167" s="238">
        <f>IFERROR(D167/C167,0)</f>
        <v>4296.4483333333337</v>
      </c>
      <c r="G167" s="9"/>
    </row>
    <row r="168" spans="1:10" ht="13.5" thickTop="1" x14ac:dyDescent="0.2">
      <c r="A168" s="240" t="s">
        <v>270</v>
      </c>
      <c r="B168" s="14" t="s">
        <v>9</v>
      </c>
      <c r="C168" s="14">
        <f>C163</f>
        <v>2</v>
      </c>
      <c r="D168" s="75">
        <v>70000</v>
      </c>
      <c r="E168" s="15">
        <f>C168*D168</f>
        <v>140000</v>
      </c>
    </row>
    <row r="169" spans="1:10" x14ac:dyDescent="0.2">
      <c r="A169" s="239" t="s">
        <v>271</v>
      </c>
      <c r="B169" s="17" t="s">
        <v>86</v>
      </c>
      <c r="C169" s="74">
        <v>10</v>
      </c>
      <c r="D169" s="18"/>
      <c r="E169" s="18"/>
      <c r="I169" s="73"/>
      <c r="J169" s="73"/>
    </row>
    <row r="170" spans="1:10" x14ac:dyDescent="0.2">
      <c r="A170" s="239" t="s">
        <v>272</v>
      </c>
      <c r="B170" s="17" t="s">
        <v>86</v>
      </c>
      <c r="C170" s="74">
        <v>5</v>
      </c>
      <c r="D170" s="18"/>
      <c r="E170" s="18"/>
      <c r="F170" s="20"/>
    </row>
    <row r="171" spans="1:10" x14ac:dyDescent="0.2">
      <c r="A171" s="16" t="s">
        <v>87</v>
      </c>
      <c r="B171" s="17" t="s">
        <v>2</v>
      </c>
      <c r="C171" s="114">
        <f>IFERROR(VLOOKUP(C169,'5. Depreciação'!A3:B17,2,FALSE),0)</f>
        <v>65.180000000000007</v>
      </c>
      <c r="D171" s="18">
        <v>70000</v>
      </c>
      <c r="E171" s="18">
        <f>C171*D171/100</f>
        <v>45626.000000000007</v>
      </c>
    </row>
    <row r="172" spans="1:10" x14ac:dyDescent="0.2">
      <c r="A172" s="86" t="s">
        <v>285</v>
      </c>
      <c r="B172" s="87" t="s">
        <v>7</v>
      </c>
      <c r="C172" s="87">
        <v>120</v>
      </c>
      <c r="D172" s="88">
        <f>IF(C170&lt;=C169,E171,0)</f>
        <v>45626.000000000007</v>
      </c>
      <c r="E172" s="88">
        <f>IFERROR(D172/C172,0)</f>
        <v>380.21666666666675</v>
      </c>
    </row>
    <row r="173" spans="1:10" x14ac:dyDescent="0.2">
      <c r="A173" s="94" t="s">
        <v>233</v>
      </c>
      <c r="B173" s="95"/>
      <c r="C173" s="95"/>
      <c r="D173" s="31"/>
      <c r="E173" s="96">
        <f>E167+E172</f>
        <v>4676.6650000000009</v>
      </c>
    </row>
    <row r="174" spans="1:10" ht="13.5" thickBot="1" x14ac:dyDescent="0.25">
      <c r="A174" s="86" t="s">
        <v>234</v>
      </c>
      <c r="B174" s="87" t="s">
        <v>9</v>
      </c>
      <c r="C174" s="74">
        <v>2</v>
      </c>
      <c r="D174" s="88">
        <f>E173</f>
        <v>4676.6650000000009</v>
      </c>
      <c r="E174" s="96">
        <f>C174*D174</f>
        <v>9353.3300000000017</v>
      </c>
    </row>
    <row r="175" spans="1:10" ht="11.25" customHeight="1" thickBot="1" x14ac:dyDescent="0.25">
      <c r="A175" s="231"/>
      <c r="B175" s="231"/>
      <c r="C175" s="231"/>
      <c r="D175" s="98" t="s">
        <v>175</v>
      </c>
      <c r="E175" s="45">
        <v>1</v>
      </c>
      <c r="F175" s="21">
        <f>E174*E175</f>
        <v>9353.3300000000017</v>
      </c>
    </row>
    <row r="177" spans="1:10" ht="13.5" thickBot="1" x14ac:dyDescent="0.25">
      <c r="A177" s="89" t="s">
        <v>92</v>
      </c>
      <c r="I177" s="73"/>
      <c r="J177" s="73"/>
    </row>
    <row r="178" spans="1:10" ht="13.5" thickBot="1" x14ac:dyDescent="0.25">
      <c r="A178" s="297" t="s">
        <v>53</v>
      </c>
      <c r="B178" s="297" t="s">
        <v>54</v>
      </c>
      <c r="C178" s="297" t="s">
        <v>33</v>
      </c>
      <c r="D178" s="298" t="s">
        <v>213</v>
      </c>
      <c r="E178" s="298" t="s">
        <v>55</v>
      </c>
      <c r="F178" s="54" t="s">
        <v>56</v>
      </c>
      <c r="I178" s="73"/>
      <c r="J178" s="73"/>
    </row>
    <row r="179" spans="1:10" x14ac:dyDescent="0.2">
      <c r="A179" s="13" t="s">
        <v>91</v>
      </c>
      <c r="B179" s="14" t="s">
        <v>9</v>
      </c>
      <c r="C179" s="14">
        <v>1</v>
      </c>
      <c r="D179" s="15">
        <v>395500</v>
      </c>
      <c r="E179" s="15">
        <f>C179*D179</f>
        <v>395500</v>
      </c>
      <c r="F179" s="20"/>
      <c r="I179" s="73"/>
      <c r="J179" s="73"/>
    </row>
    <row r="180" spans="1:10" x14ac:dyDescent="0.2">
      <c r="A180" s="16" t="s">
        <v>192</v>
      </c>
      <c r="B180" s="17" t="s">
        <v>2</v>
      </c>
      <c r="C180" s="74">
        <v>6.5</v>
      </c>
      <c r="D180" s="18"/>
      <c r="E180" s="18"/>
      <c r="F180" s="20"/>
      <c r="I180" s="73"/>
      <c r="J180" s="73"/>
    </row>
    <row r="181" spans="1:10" x14ac:dyDescent="0.2">
      <c r="A181" s="16" t="s">
        <v>191</v>
      </c>
      <c r="B181" s="17" t="s">
        <v>26</v>
      </c>
      <c r="C181" s="119">
        <f>D179</f>
        <v>395500</v>
      </c>
      <c r="D181" s="18"/>
      <c r="E181" s="18"/>
      <c r="F181" s="20"/>
      <c r="I181" s="73"/>
      <c r="J181" s="73"/>
    </row>
    <row r="182" spans="1:10" x14ac:dyDescent="0.2">
      <c r="A182" s="16" t="s">
        <v>94</v>
      </c>
      <c r="B182" s="17" t="s">
        <v>26</v>
      </c>
      <c r="C182" s="18">
        <f>IFERROR(IF(C165&gt;=C164,C181,((((C181)-(E163-E166))*(((C164-C165)+1)/(2*(C164-C165))))+(E163-E166))),0)</f>
        <v>347470.48</v>
      </c>
      <c r="D182" s="18"/>
      <c r="E182" s="18"/>
      <c r="F182" s="20"/>
      <c r="I182" s="73"/>
      <c r="J182" s="73"/>
    </row>
    <row r="183" spans="1:10" ht="13.5" thickBot="1" x14ac:dyDescent="0.25">
      <c r="A183" s="236" t="s">
        <v>95</v>
      </c>
      <c r="B183" s="237" t="s">
        <v>26</v>
      </c>
      <c r="C183" s="237"/>
      <c r="D183" s="238">
        <f>C180*C182/12/100</f>
        <v>1882.1317666666666</v>
      </c>
      <c r="E183" s="238">
        <f>D183</f>
        <v>1882.1317666666666</v>
      </c>
      <c r="F183" s="20"/>
      <c r="I183" s="73"/>
      <c r="J183" s="73"/>
    </row>
    <row r="184" spans="1:10" ht="13.5" thickTop="1" x14ac:dyDescent="0.2">
      <c r="A184" s="240" t="s">
        <v>267</v>
      </c>
      <c r="B184" s="14" t="s">
        <v>9</v>
      </c>
      <c r="C184" s="14">
        <f>C168</f>
        <v>2</v>
      </c>
      <c r="D184" s="15">
        <v>70000</v>
      </c>
      <c r="E184" s="15">
        <f>C184*D184</f>
        <v>140000</v>
      </c>
      <c r="F184" s="20"/>
      <c r="I184" s="73"/>
      <c r="J184" s="73"/>
    </row>
    <row r="185" spans="1:10" x14ac:dyDescent="0.2">
      <c r="A185" s="16" t="s">
        <v>192</v>
      </c>
      <c r="B185" s="17" t="s">
        <v>2</v>
      </c>
      <c r="C185" s="17">
        <f>C180</f>
        <v>6.5</v>
      </c>
      <c r="D185" s="18"/>
      <c r="E185" s="18"/>
      <c r="F185" s="20"/>
      <c r="I185" s="73"/>
      <c r="J185" s="73"/>
    </row>
    <row r="186" spans="1:10" x14ac:dyDescent="0.2">
      <c r="A186" s="239" t="s">
        <v>268</v>
      </c>
      <c r="B186" s="17" t="s">
        <v>26</v>
      </c>
      <c r="C186" s="119">
        <v>70000</v>
      </c>
      <c r="D186" s="18"/>
      <c r="E186" s="18"/>
      <c r="F186" s="20"/>
      <c r="I186" s="73"/>
      <c r="J186" s="73"/>
    </row>
    <row r="187" spans="1:10" x14ac:dyDescent="0.2">
      <c r="A187" s="239" t="s">
        <v>269</v>
      </c>
      <c r="B187" s="17" t="s">
        <v>26</v>
      </c>
      <c r="C187" s="18">
        <f>IFERROR(IF(C170&gt;=C169,C186,((((C186)-(E168-E171))*(((C169-C170)+1)/(2*(C169-C170))))+(E168-E171))),0)</f>
        <v>79749.600000000006</v>
      </c>
      <c r="D187" s="18"/>
      <c r="E187" s="18"/>
      <c r="F187" s="20"/>
      <c r="I187" s="73"/>
      <c r="J187" s="73"/>
    </row>
    <row r="188" spans="1:10" x14ac:dyDescent="0.2">
      <c r="A188" s="86" t="s">
        <v>264</v>
      </c>
      <c r="B188" s="87"/>
      <c r="C188" s="87"/>
      <c r="D188" s="88">
        <f>C185*C187/12/100</f>
        <v>431.97700000000003</v>
      </c>
      <c r="E188" s="88">
        <f>D188</f>
        <v>431.97700000000003</v>
      </c>
      <c r="F188" s="20"/>
      <c r="I188" s="73"/>
      <c r="J188" s="73"/>
    </row>
    <row r="189" spans="1:10" x14ac:dyDescent="0.2">
      <c r="A189" s="94" t="s">
        <v>233</v>
      </c>
      <c r="B189" s="95"/>
      <c r="C189" s="95"/>
      <c r="D189" s="31"/>
      <c r="E189" s="96">
        <f>E183+E188</f>
        <v>2314.1087666666667</v>
      </c>
      <c r="F189" s="20"/>
      <c r="I189" s="73"/>
      <c r="J189" s="73"/>
    </row>
    <row r="190" spans="1:10" ht="13.5" thickBot="1" x14ac:dyDescent="0.25">
      <c r="A190" s="86" t="s">
        <v>234</v>
      </c>
      <c r="B190" s="87" t="s">
        <v>9</v>
      </c>
      <c r="C190" s="17">
        <f>C174</f>
        <v>2</v>
      </c>
      <c r="D190" s="88">
        <f>E189</f>
        <v>2314.1087666666667</v>
      </c>
      <c r="E190" s="96">
        <f>C190*D190</f>
        <v>4628.2175333333334</v>
      </c>
      <c r="F190" s="20"/>
      <c r="I190" s="73"/>
      <c r="J190" s="73"/>
    </row>
    <row r="191" spans="1:10" ht="11.25" customHeight="1" thickBot="1" x14ac:dyDescent="0.25">
      <c r="C191" s="19"/>
      <c r="D191" s="98" t="s">
        <v>175</v>
      </c>
      <c r="E191" s="45">
        <v>1</v>
      </c>
      <c r="F191" s="21">
        <f>E190*E191</f>
        <v>4628.2175333333334</v>
      </c>
      <c r="I191" s="73"/>
      <c r="J191" s="73"/>
    </row>
    <row r="192" spans="1:10" x14ac:dyDescent="0.2">
      <c r="I192" s="73"/>
      <c r="J192" s="73"/>
    </row>
    <row r="193" spans="1:10" ht="13.5" thickBot="1" x14ac:dyDescent="0.25">
      <c r="A193" s="9" t="s">
        <v>42</v>
      </c>
      <c r="I193" s="73"/>
      <c r="J193" s="73"/>
    </row>
    <row r="194" spans="1:10" ht="13.5" thickBot="1" x14ac:dyDescent="0.25">
      <c r="A194" s="51" t="s">
        <v>53</v>
      </c>
      <c r="B194" s="52" t="s">
        <v>54</v>
      </c>
      <c r="C194" s="52" t="s">
        <v>33</v>
      </c>
      <c r="D194" s="53" t="s">
        <v>213</v>
      </c>
      <c r="E194" s="53" t="s">
        <v>55</v>
      </c>
      <c r="F194" s="54" t="s">
        <v>56</v>
      </c>
      <c r="I194" s="73"/>
      <c r="J194" s="73"/>
    </row>
    <row r="195" spans="1:10" x14ac:dyDescent="0.2">
      <c r="A195" s="13" t="s">
        <v>11</v>
      </c>
      <c r="B195" s="14" t="s">
        <v>9</v>
      </c>
      <c r="C195" s="15">
        <v>2</v>
      </c>
      <c r="D195" s="15">
        <f>0.03*D163</f>
        <v>11865</v>
      </c>
      <c r="E195" s="15">
        <f>C195*D195</f>
        <v>23730</v>
      </c>
      <c r="I195" s="73"/>
      <c r="J195" s="73"/>
    </row>
    <row r="196" spans="1:10" x14ac:dyDescent="0.2">
      <c r="A196" s="16" t="s">
        <v>174</v>
      </c>
      <c r="B196" s="17" t="s">
        <v>9</v>
      </c>
      <c r="C196" s="15">
        <v>2</v>
      </c>
      <c r="D196" s="77">
        <v>205</v>
      </c>
      <c r="E196" s="18">
        <f>C196*D196</f>
        <v>410</v>
      </c>
      <c r="I196" s="73"/>
      <c r="J196" s="73"/>
    </row>
    <row r="197" spans="1:10" x14ac:dyDescent="0.2">
      <c r="A197" s="16" t="s">
        <v>12</v>
      </c>
      <c r="B197" s="17" t="s">
        <v>9</v>
      </c>
      <c r="C197" s="15">
        <v>2</v>
      </c>
      <c r="D197" s="77">
        <v>4650</v>
      </c>
      <c r="E197" s="18">
        <f>C197*D197</f>
        <v>9300</v>
      </c>
      <c r="F197" s="31"/>
      <c r="I197" s="73"/>
      <c r="J197" s="73"/>
    </row>
    <row r="198" spans="1:10" ht="13.5" thickBot="1" x14ac:dyDescent="0.25">
      <c r="A198" s="86" t="s">
        <v>13</v>
      </c>
      <c r="B198" s="87" t="s">
        <v>7</v>
      </c>
      <c r="C198" s="87">
        <v>12</v>
      </c>
      <c r="D198" s="88">
        <f>SUM(E195:E197)</f>
        <v>33440</v>
      </c>
      <c r="E198" s="88">
        <f>D198/C198</f>
        <v>2786.6666666666665</v>
      </c>
      <c r="I198" s="73"/>
      <c r="J198" s="73"/>
    </row>
    <row r="199" spans="1:10" ht="11.25" customHeight="1" thickBot="1" x14ac:dyDescent="0.25">
      <c r="D199" s="98" t="s">
        <v>175</v>
      </c>
      <c r="E199" s="45">
        <v>1</v>
      </c>
      <c r="F199" s="99">
        <f>E198*E199</f>
        <v>2786.6666666666665</v>
      </c>
      <c r="I199" s="73"/>
      <c r="J199" s="73"/>
    </row>
    <row r="200" spans="1:10" x14ac:dyDescent="0.2">
      <c r="I200" s="73"/>
      <c r="J200" s="73"/>
    </row>
    <row r="201" spans="1:10" x14ac:dyDescent="0.2">
      <c r="A201" s="9" t="s">
        <v>43</v>
      </c>
      <c r="B201" s="32"/>
      <c r="I201" s="73"/>
      <c r="J201" s="73"/>
    </row>
    <row r="202" spans="1:10" x14ac:dyDescent="0.2">
      <c r="B202" s="32"/>
      <c r="I202" s="73"/>
      <c r="J202" s="73"/>
    </row>
    <row r="203" spans="1:10" x14ac:dyDescent="0.2">
      <c r="A203" s="86" t="s">
        <v>97</v>
      </c>
      <c r="B203" s="91">
        <v>21128</v>
      </c>
      <c r="I203" s="73"/>
      <c r="J203" s="73"/>
    </row>
    <row r="204" spans="1:10" ht="13.5" thickBot="1" x14ac:dyDescent="0.25">
      <c r="B204" s="32"/>
      <c r="I204" s="73"/>
      <c r="J204" s="73"/>
    </row>
    <row r="205" spans="1:10" ht="13.5" thickBot="1" x14ac:dyDescent="0.25">
      <c r="A205" s="51" t="s">
        <v>53</v>
      </c>
      <c r="B205" s="52" t="s">
        <v>54</v>
      </c>
      <c r="C205" s="52" t="s">
        <v>232</v>
      </c>
      <c r="D205" s="53" t="s">
        <v>213</v>
      </c>
      <c r="E205" s="53" t="s">
        <v>55</v>
      </c>
      <c r="F205" s="54" t="s">
        <v>56</v>
      </c>
      <c r="G205" s="258"/>
      <c r="I205" s="73"/>
      <c r="J205" s="73"/>
    </row>
    <row r="206" spans="1:10" x14ac:dyDescent="0.2">
      <c r="A206" s="13" t="s">
        <v>14</v>
      </c>
      <c r="B206" s="14" t="s">
        <v>15</v>
      </c>
      <c r="C206" s="252">
        <v>1.9</v>
      </c>
      <c r="D206" s="253">
        <v>2.964</v>
      </c>
      <c r="E206" s="15"/>
      <c r="G206" s="258"/>
      <c r="I206" s="73"/>
      <c r="J206" s="73"/>
    </row>
    <row r="207" spans="1:10" x14ac:dyDescent="0.2">
      <c r="A207" s="16" t="s">
        <v>16</v>
      </c>
      <c r="B207" s="17" t="s">
        <v>17</v>
      </c>
      <c r="C207" s="82">
        <v>21128</v>
      </c>
      <c r="D207" s="230">
        <f>D206/C206</f>
        <v>1.56</v>
      </c>
      <c r="E207" s="18">
        <f>IFERROR(C207*D207,"-")</f>
        <v>32959.68</v>
      </c>
      <c r="G207" s="258"/>
      <c r="I207" s="73"/>
      <c r="J207" s="73"/>
    </row>
    <row r="208" spans="1:10" x14ac:dyDescent="0.2">
      <c r="A208" s="240" t="s">
        <v>280</v>
      </c>
      <c r="B208" s="14" t="s">
        <v>15</v>
      </c>
      <c r="C208" s="252">
        <v>33</v>
      </c>
      <c r="D208" s="253">
        <v>1.6</v>
      </c>
      <c r="E208" s="15"/>
      <c r="G208" s="258"/>
      <c r="I208" s="73"/>
      <c r="J208" s="73"/>
    </row>
    <row r="209" spans="1:10" x14ac:dyDescent="0.2">
      <c r="A209" s="239" t="s">
        <v>279</v>
      </c>
      <c r="B209" s="17" t="s">
        <v>17</v>
      </c>
      <c r="C209" s="82">
        <v>21128</v>
      </c>
      <c r="D209" s="230">
        <f>D208/C208</f>
        <v>4.8484848484848485E-2</v>
      </c>
      <c r="E209" s="18">
        <f>IFERROR(C209*D209,"-")</f>
        <v>1024.3878787878789</v>
      </c>
      <c r="G209" s="258"/>
      <c r="I209" s="73"/>
      <c r="J209" s="73"/>
    </row>
    <row r="210" spans="1:10" x14ac:dyDescent="0.2">
      <c r="A210" s="16" t="s">
        <v>214</v>
      </c>
      <c r="B210" s="17" t="s">
        <v>18</v>
      </c>
      <c r="C210" s="241">
        <v>1.8</v>
      </c>
      <c r="D210" s="77">
        <v>11.2</v>
      </c>
      <c r="E210" s="18"/>
      <c r="G210" s="258"/>
      <c r="I210" s="73"/>
      <c r="J210" s="73"/>
    </row>
    <row r="211" spans="1:10" x14ac:dyDescent="0.2">
      <c r="A211" s="16" t="s">
        <v>19</v>
      </c>
      <c r="B211" s="17" t="s">
        <v>17</v>
      </c>
      <c r="C211" s="82">
        <f>C207</f>
        <v>21128</v>
      </c>
      <c r="D211" s="259">
        <f>C210*D210/1000</f>
        <v>2.0160000000000001E-2</v>
      </c>
      <c r="E211" s="18">
        <f>D211*C211</f>
        <v>425.94048000000004</v>
      </c>
      <c r="G211" s="258"/>
      <c r="I211" s="73"/>
      <c r="J211" s="73"/>
    </row>
    <row r="212" spans="1:10" x14ac:dyDescent="0.2">
      <c r="A212" s="239" t="s">
        <v>281</v>
      </c>
      <c r="B212" s="17" t="s">
        <v>18</v>
      </c>
      <c r="C212" s="241">
        <v>1.2</v>
      </c>
      <c r="D212" s="77">
        <v>14.6</v>
      </c>
      <c r="E212" s="18"/>
      <c r="G212" s="258"/>
      <c r="I212" s="73"/>
      <c r="J212" s="73"/>
    </row>
    <row r="213" spans="1:10" x14ac:dyDescent="0.2">
      <c r="A213" s="239" t="s">
        <v>282</v>
      </c>
      <c r="B213" s="17" t="s">
        <v>17</v>
      </c>
      <c r="C213" s="254">
        <v>6500</v>
      </c>
      <c r="D213" s="256">
        <f>C212*D212/1000</f>
        <v>1.7520000000000001E-2</v>
      </c>
      <c r="E213" s="18">
        <f>D213*C213</f>
        <v>113.88000000000001</v>
      </c>
      <c r="G213" s="258"/>
      <c r="I213" s="73"/>
      <c r="J213" s="73"/>
    </row>
    <row r="214" spans="1:10" x14ac:dyDescent="0.2">
      <c r="A214" s="16" t="s">
        <v>215</v>
      </c>
      <c r="B214" s="17" t="s">
        <v>18</v>
      </c>
      <c r="C214" s="241">
        <v>1.3</v>
      </c>
      <c r="D214" s="257">
        <v>12.7</v>
      </c>
      <c r="E214" s="18"/>
      <c r="G214" s="258"/>
      <c r="I214" s="73"/>
      <c r="J214" s="73"/>
    </row>
    <row r="215" spans="1:10" x14ac:dyDescent="0.2">
      <c r="A215" s="16" t="s">
        <v>20</v>
      </c>
      <c r="B215" s="17" t="s">
        <v>17</v>
      </c>
      <c r="C215" s="82">
        <f>C207</f>
        <v>21128</v>
      </c>
      <c r="D215" s="256">
        <f>C214*D214/1000</f>
        <v>1.6509999999999997E-2</v>
      </c>
      <c r="E215" s="18">
        <f>D215*C215</f>
        <v>348.82327999999995</v>
      </c>
      <c r="G215" s="258"/>
      <c r="I215" s="73"/>
      <c r="J215" s="73"/>
    </row>
    <row r="216" spans="1:10" x14ac:dyDescent="0.2">
      <c r="A216" s="239" t="s">
        <v>251</v>
      </c>
      <c r="B216" s="17" t="s">
        <v>18</v>
      </c>
      <c r="C216" s="241">
        <v>2</v>
      </c>
      <c r="D216" s="257">
        <v>10.199999999999999</v>
      </c>
      <c r="E216" s="18"/>
      <c r="G216" s="258"/>
      <c r="I216" s="73"/>
      <c r="J216" s="73"/>
    </row>
    <row r="217" spans="1:10" x14ac:dyDescent="0.2">
      <c r="A217" s="239" t="s">
        <v>252</v>
      </c>
      <c r="B217" s="17" t="s">
        <v>17</v>
      </c>
      <c r="C217" s="82">
        <f>C211</f>
        <v>21128</v>
      </c>
      <c r="D217" s="256">
        <f>C216*D216/1000</f>
        <v>2.0399999999999998E-2</v>
      </c>
      <c r="E217" s="18">
        <f>D217*C217</f>
        <v>431.01119999999997</v>
      </c>
      <c r="G217" s="258"/>
      <c r="I217" s="73"/>
      <c r="J217" s="73"/>
    </row>
    <row r="218" spans="1:10" ht="13.5" thickBot="1" x14ac:dyDescent="0.25">
      <c r="A218" s="86" t="s">
        <v>231</v>
      </c>
      <c r="B218" s="87" t="s">
        <v>98</v>
      </c>
      <c r="C218" s="228"/>
      <c r="D218" s="229">
        <f>IFERROR(D207+D211+#REF!+D215+#REF!,0)</f>
        <v>0</v>
      </c>
      <c r="E218" s="18"/>
      <c r="I218" s="73"/>
      <c r="J218" s="73"/>
    </row>
    <row r="219" spans="1:10" ht="11.25" customHeight="1" thickBot="1" x14ac:dyDescent="0.25">
      <c r="F219" s="21">
        <f>SUM(E206:E217)</f>
        <v>35303.722838787871</v>
      </c>
      <c r="I219" s="73"/>
      <c r="J219" s="73"/>
    </row>
    <row r="220" spans="1:10" x14ac:dyDescent="0.2">
      <c r="I220" s="73"/>
      <c r="J220" s="73"/>
    </row>
    <row r="221" spans="1:10" ht="13.5" thickBot="1" x14ac:dyDescent="0.25">
      <c r="A221" s="9" t="s">
        <v>44</v>
      </c>
      <c r="I221" s="73"/>
      <c r="J221" s="73"/>
    </row>
    <row r="222" spans="1:10" ht="13.5" thickBot="1" x14ac:dyDescent="0.25">
      <c r="A222" s="51" t="s">
        <v>53</v>
      </c>
      <c r="B222" s="52" t="s">
        <v>54</v>
      </c>
      <c r="C222" s="52" t="s">
        <v>33</v>
      </c>
      <c r="D222" s="53" t="s">
        <v>213</v>
      </c>
      <c r="E222" s="53" t="s">
        <v>55</v>
      </c>
      <c r="F222" s="54" t="s">
        <v>56</v>
      </c>
      <c r="I222" s="73"/>
      <c r="J222" s="73"/>
    </row>
    <row r="223" spans="1:10" ht="13.5" thickBot="1" x14ac:dyDescent="0.25">
      <c r="A223" s="13" t="s">
        <v>96</v>
      </c>
      <c r="B223" s="14" t="s">
        <v>98</v>
      </c>
      <c r="C223" s="82">
        <f>C207</f>
        <v>21128</v>
      </c>
      <c r="D223" s="75">
        <v>0.9</v>
      </c>
      <c r="E223" s="15">
        <f>C223*D223</f>
        <v>19015.2</v>
      </c>
      <c r="I223" s="73"/>
      <c r="J223" s="73"/>
    </row>
    <row r="224" spans="1:10" ht="11.25" customHeight="1" thickBot="1" x14ac:dyDescent="0.25">
      <c r="F224" s="21">
        <f>E223</f>
        <v>19015.2</v>
      </c>
      <c r="I224" s="73"/>
      <c r="J224" s="73"/>
    </row>
    <row r="225" spans="1:10" x14ac:dyDescent="0.2">
      <c r="I225" s="73"/>
      <c r="J225" s="73"/>
    </row>
    <row r="226" spans="1:10" ht="13.5" thickBot="1" x14ac:dyDescent="0.25">
      <c r="A226" s="9" t="s">
        <v>51</v>
      </c>
      <c r="I226" s="73"/>
      <c r="J226" s="73"/>
    </row>
    <row r="227" spans="1:10" ht="13.5" thickBot="1" x14ac:dyDescent="0.25">
      <c r="A227" s="51" t="s">
        <v>53</v>
      </c>
      <c r="B227" s="52" t="s">
        <v>54</v>
      </c>
      <c r="C227" s="52" t="s">
        <v>33</v>
      </c>
      <c r="D227" s="53" t="s">
        <v>213</v>
      </c>
      <c r="E227" s="53" t="s">
        <v>55</v>
      </c>
      <c r="F227" s="54" t="s">
        <v>56</v>
      </c>
      <c r="I227" s="73"/>
      <c r="J227" s="73"/>
    </row>
    <row r="228" spans="1:10" x14ac:dyDescent="0.2">
      <c r="A228" s="240" t="s">
        <v>265</v>
      </c>
      <c r="B228" s="14" t="s">
        <v>9</v>
      </c>
      <c r="C228" s="83">
        <v>6</v>
      </c>
      <c r="D228" s="75">
        <v>1900</v>
      </c>
      <c r="E228" s="15">
        <f>C228*D228</f>
        <v>11400</v>
      </c>
      <c r="I228" s="73"/>
      <c r="J228" s="73"/>
    </row>
    <row r="229" spans="1:10" x14ac:dyDescent="0.2">
      <c r="A229" s="13" t="s">
        <v>99</v>
      </c>
      <c r="B229" s="14" t="s">
        <v>9</v>
      </c>
      <c r="C229" s="83">
        <v>2</v>
      </c>
      <c r="D229" s="15"/>
      <c r="E229" s="15"/>
      <c r="I229" s="73"/>
      <c r="J229" s="73"/>
    </row>
    <row r="230" spans="1:10" x14ac:dyDescent="0.2">
      <c r="A230" s="13" t="s">
        <v>59</v>
      </c>
      <c r="B230" s="14" t="s">
        <v>9</v>
      </c>
      <c r="C230" s="15">
        <v>12</v>
      </c>
      <c r="D230" s="75">
        <v>550</v>
      </c>
      <c r="E230" s="15">
        <f>C230*D230</f>
        <v>6600</v>
      </c>
      <c r="I230" s="73"/>
      <c r="J230" s="73"/>
    </row>
    <row r="231" spans="1:10" x14ac:dyDescent="0.2">
      <c r="A231" s="239" t="s">
        <v>237</v>
      </c>
      <c r="B231" s="17" t="s">
        <v>21</v>
      </c>
      <c r="C231" s="84">
        <v>40000</v>
      </c>
      <c r="D231" s="18">
        <f>E228+E230</f>
        <v>18000</v>
      </c>
      <c r="E231" s="18">
        <f>IFERROR(D231/C231,"-")</f>
        <v>0.45</v>
      </c>
      <c r="I231" s="73"/>
      <c r="J231" s="73"/>
    </row>
    <row r="232" spans="1:10" ht="13.5" thickBot="1" x14ac:dyDescent="0.25">
      <c r="A232" s="16" t="s">
        <v>46</v>
      </c>
      <c r="B232" s="17" t="s">
        <v>17</v>
      </c>
      <c r="C232" s="82">
        <f>B203</f>
        <v>21128</v>
      </c>
      <c r="D232" s="18">
        <f>E231</f>
        <v>0.45</v>
      </c>
      <c r="E232" s="18">
        <f>IFERROR(C232*D232,0)</f>
        <v>9507.6</v>
      </c>
      <c r="I232" s="73"/>
      <c r="J232" s="73"/>
    </row>
    <row r="233" spans="1:10" ht="11.25" customHeight="1" thickBot="1" x14ac:dyDescent="0.25">
      <c r="F233" s="21">
        <f>E232</f>
        <v>9507.6</v>
      </c>
      <c r="I233" s="73"/>
      <c r="J233" s="73"/>
    </row>
    <row r="234" spans="1:10" ht="11.25" customHeight="1" x14ac:dyDescent="0.2">
      <c r="G234" s="9"/>
    </row>
    <row r="235" spans="1:10" ht="13.5" thickBot="1" x14ac:dyDescent="0.25">
      <c r="G235" s="9"/>
    </row>
    <row r="236" spans="1:10" ht="11.25" customHeight="1" thickBot="1" x14ac:dyDescent="0.25">
      <c r="A236" s="24" t="s">
        <v>201</v>
      </c>
      <c r="B236" s="25"/>
      <c r="C236" s="25"/>
      <c r="D236" s="26"/>
      <c r="E236" s="27"/>
      <c r="F236" s="21">
        <f>+SUM(F163:F235)</f>
        <v>80594.737038787876</v>
      </c>
      <c r="G236" s="9"/>
    </row>
    <row r="237" spans="1:10" x14ac:dyDescent="0.2">
      <c r="G237" s="9"/>
    </row>
    <row r="238" spans="1:10" ht="11.25" customHeight="1" x14ac:dyDescent="0.2">
      <c r="A238" s="11" t="s">
        <v>62</v>
      </c>
      <c r="B238" s="11"/>
      <c r="C238" s="11"/>
      <c r="D238" s="23"/>
      <c r="E238" s="23"/>
      <c r="F238" s="31"/>
      <c r="G238" s="9"/>
    </row>
    <row r="239" spans="1:10" ht="13.5" thickBot="1" x14ac:dyDescent="0.25">
      <c r="G239" s="9"/>
    </row>
    <row r="240" spans="1:10" ht="13.5" thickBot="1" x14ac:dyDescent="0.25">
      <c r="A240" s="51" t="s">
        <v>53</v>
      </c>
      <c r="B240" s="52" t="s">
        <v>54</v>
      </c>
      <c r="C240" s="52" t="s">
        <v>33</v>
      </c>
      <c r="D240" s="53" t="s">
        <v>213</v>
      </c>
      <c r="E240" s="53" t="s">
        <v>55</v>
      </c>
      <c r="F240" s="54" t="s">
        <v>56</v>
      </c>
      <c r="G240" s="9"/>
    </row>
    <row r="241" spans="1:7" x14ac:dyDescent="0.2">
      <c r="A241" s="16" t="s">
        <v>60</v>
      </c>
      <c r="B241" s="17" t="s">
        <v>9</v>
      </c>
      <c r="C241" s="242">
        <v>0.16666666666666666</v>
      </c>
      <c r="D241" s="75">
        <v>37</v>
      </c>
      <c r="E241" s="18">
        <f t="shared" ref="E241:E242" si="4">C241*D241</f>
        <v>6.1666666666666661</v>
      </c>
      <c r="F241" s="20"/>
      <c r="G241" s="9"/>
    </row>
    <row r="242" spans="1:7" ht="13.5" thickBot="1" x14ac:dyDescent="0.25">
      <c r="A242" s="239" t="s">
        <v>266</v>
      </c>
      <c r="B242" s="17" t="s">
        <v>48</v>
      </c>
      <c r="C242" s="242">
        <v>0</v>
      </c>
      <c r="D242" s="75">
        <v>26</v>
      </c>
      <c r="E242" s="18">
        <f t="shared" si="4"/>
        <v>0</v>
      </c>
      <c r="F242" s="20"/>
      <c r="G242" s="9"/>
    </row>
    <row r="243" spans="1:7" ht="11.25" customHeight="1" thickBot="1" x14ac:dyDescent="0.25">
      <c r="A243" s="11"/>
      <c r="B243" s="11"/>
      <c r="C243" s="11"/>
      <c r="D243" s="11"/>
      <c r="E243" s="23"/>
      <c r="F243" s="21">
        <f>SUM(E241:E242)</f>
        <v>6.1666666666666661</v>
      </c>
      <c r="G243" s="9"/>
    </row>
    <row r="244" spans="1:7" ht="13.5" thickBot="1" x14ac:dyDescent="0.25">
      <c r="G244" s="9"/>
    </row>
    <row r="245" spans="1:7" ht="11.25" customHeight="1" thickBot="1" x14ac:dyDescent="0.25">
      <c r="A245" s="24" t="s">
        <v>202</v>
      </c>
      <c r="B245" s="25"/>
      <c r="C245" s="25"/>
      <c r="D245" s="26"/>
      <c r="E245" s="27"/>
      <c r="F245" s="21">
        <f>+F243</f>
        <v>6.1666666666666661</v>
      </c>
      <c r="G245" s="9"/>
    </row>
    <row r="247" spans="1:7" ht="11.25" customHeight="1" x14ac:dyDescent="0.2">
      <c r="A247" s="11" t="s">
        <v>63</v>
      </c>
      <c r="B247" s="11"/>
      <c r="C247" s="11"/>
      <c r="D247" s="23"/>
      <c r="E247" s="23"/>
      <c r="F247" s="31"/>
    </row>
    <row r="248" spans="1:7" ht="13.5" thickBot="1" x14ac:dyDescent="0.25"/>
    <row r="249" spans="1:7" ht="13.5" thickBot="1" x14ac:dyDescent="0.25">
      <c r="A249" s="51" t="s">
        <v>53</v>
      </c>
      <c r="B249" s="52" t="s">
        <v>54</v>
      </c>
      <c r="C249" s="52" t="s">
        <v>33</v>
      </c>
      <c r="D249" s="53" t="s">
        <v>213</v>
      </c>
      <c r="E249" s="53" t="s">
        <v>55</v>
      </c>
      <c r="F249" s="54" t="s">
        <v>56</v>
      </c>
    </row>
    <row r="250" spans="1:7" x14ac:dyDescent="0.2">
      <c r="A250" s="16" t="s">
        <v>199</v>
      </c>
      <c r="B250" s="47" t="s">
        <v>48</v>
      </c>
      <c r="C250" s="60">
        <v>2</v>
      </c>
      <c r="D250" s="77">
        <v>110</v>
      </c>
      <c r="E250" s="18">
        <f>+D250*C250</f>
        <v>220</v>
      </c>
      <c r="F250" s="20"/>
    </row>
    <row r="251" spans="1:7" x14ac:dyDescent="0.2">
      <c r="A251" s="16" t="s">
        <v>50</v>
      </c>
      <c r="B251" s="47" t="s">
        <v>7</v>
      </c>
      <c r="C251" s="17">
        <v>60</v>
      </c>
      <c r="D251" s="71">
        <v>220</v>
      </c>
      <c r="E251" s="71">
        <f>+D251/C251</f>
        <v>3.6666666666666665</v>
      </c>
      <c r="F251" s="20"/>
    </row>
    <row r="252" spans="1:7" x14ac:dyDescent="0.2">
      <c r="A252" s="16" t="s">
        <v>200</v>
      </c>
      <c r="B252" s="17" t="s">
        <v>9</v>
      </c>
      <c r="C252" s="60">
        <f>+C250</f>
        <v>2</v>
      </c>
      <c r="D252" s="77">
        <v>90</v>
      </c>
      <c r="E252" s="18">
        <f>C252*D252</f>
        <v>180</v>
      </c>
      <c r="F252" s="20"/>
    </row>
    <row r="253" spans="1:7" ht="13.5" thickBot="1" x14ac:dyDescent="0.25">
      <c r="A253" s="16" t="s">
        <v>30</v>
      </c>
      <c r="B253" s="47" t="s">
        <v>7</v>
      </c>
      <c r="C253" s="17">
        <v>2</v>
      </c>
      <c r="D253" s="71">
        <f>+E252</f>
        <v>180</v>
      </c>
      <c r="E253" s="71">
        <f>+D253/C253</f>
        <v>90</v>
      </c>
      <c r="F253" s="20"/>
    </row>
    <row r="254" spans="1:7" s="46" customFormat="1" ht="11.25" customHeight="1" thickBot="1" x14ac:dyDescent="0.25">
      <c r="A254" s="12"/>
      <c r="B254" s="12"/>
      <c r="C254" s="12"/>
      <c r="D254" s="98" t="s">
        <v>175</v>
      </c>
      <c r="E254" s="45">
        <v>1</v>
      </c>
      <c r="F254" s="21">
        <f>(E251+E253)*E254</f>
        <v>93.666666666666671</v>
      </c>
      <c r="G254" s="72"/>
    </row>
    <row r="255" spans="1:7" ht="13.5" thickBot="1" x14ac:dyDescent="0.25"/>
    <row r="256" spans="1:7" ht="11.25" customHeight="1" thickBot="1" x14ac:dyDescent="0.25">
      <c r="A256" s="24" t="s">
        <v>198</v>
      </c>
      <c r="B256" s="25"/>
      <c r="C256" s="25"/>
      <c r="D256" s="26"/>
      <c r="E256" s="27"/>
      <c r="F256" s="21">
        <f>+F254</f>
        <v>93.666666666666671</v>
      </c>
    </row>
    <row r="257" spans="1:6" ht="17.25" customHeight="1" thickBot="1" x14ac:dyDescent="0.25"/>
    <row r="258" spans="1:6" ht="11.25" customHeight="1" thickBot="1" x14ac:dyDescent="0.25">
      <c r="A258" s="24" t="s">
        <v>203</v>
      </c>
      <c r="B258" s="28"/>
      <c r="C258" s="28"/>
      <c r="D258" s="29"/>
      <c r="E258" s="30"/>
      <c r="F258" s="22">
        <f>+F121+F155+F236+F245+F256</f>
        <v>90388.372118787884</v>
      </c>
    </row>
    <row r="260" spans="1:6" ht="13.5" thickBot="1" x14ac:dyDescent="0.25">
      <c r="A260" s="7" t="s">
        <v>263</v>
      </c>
    </row>
    <row r="261" spans="1:6" ht="13.5" thickBot="1" x14ac:dyDescent="0.25">
      <c r="A261" s="51" t="s">
        <v>53</v>
      </c>
      <c r="B261" s="52" t="s">
        <v>54</v>
      </c>
      <c r="C261" s="52" t="s">
        <v>33</v>
      </c>
      <c r="D261" s="53" t="s">
        <v>213</v>
      </c>
      <c r="E261" s="53" t="s">
        <v>55</v>
      </c>
      <c r="F261" s="248" t="s">
        <v>56</v>
      </c>
    </row>
    <row r="262" spans="1:6" ht="13.5" thickBot="1" x14ac:dyDescent="0.25">
      <c r="A262" s="7"/>
      <c r="B262" s="7"/>
      <c r="D262" s="10">
        <v>0</v>
      </c>
      <c r="E262" s="10">
        <v>0</v>
      </c>
    </row>
    <row r="263" spans="1:6" ht="13.5" thickBot="1" x14ac:dyDescent="0.25">
      <c r="F263" s="249">
        <v>0</v>
      </c>
    </row>
    <row r="264" spans="1:6" ht="13.5" thickBot="1" x14ac:dyDescent="0.25"/>
    <row r="265" spans="1:6" ht="13.5" thickBot="1" x14ac:dyDescent="0.25">
      <c r="A265" s="24" t="s">
        <v>203</v>
      </c>
      <c r="B265" s="28"/>
      <c r="C265" s="28"/>
      <c r="D265" s="29"/>
      <c r="E265" s="30"/>
      <c r="F265" s="250">
        <f>F121+F155+F236+F245+F256+F263</f>
        <v>90388.372118787884</v>
      </c>
    </row>
    <row r="267" spans="1:6" ht="11.25" customHeight="1" x14ac:dyDescent="0.2">
      <c r="A267" s="11" t="s">
        <v>249</v>
      </c>
    </row>
    <row r="268" spans="1:6" ht="13.5" thickBot="1" x14ac:dyDescent="0.25"/>
    <row r="269" spans="1:6" ht="13.5" thickBot="1" x14ac:dyDescent="0.25">
      <c r="A269" s="51" t="s">
        <v>53</v>
      </c>
      <c r="B269" s="52" t="s">
        <v>54</v>
      </c>
      <c r="C269" s="52" t="s">
        <v>33</v>
      </c>
      <c r="D269" s="53" t="s">
        <v>213</v>
      </c>
      <c r="E269" s="53" t="s">
        <v>55</v>
      </c>
      <c r="F269" s="54" t="s">
        <v>56</v>
      </c>
    </row>
    <row r="270" spans="1:6" ht="13.5" thickBot="1" x14ac:dyDescent="0.25">
      <c r="A270" s="13" t="s">
        <v>29</v>
      </c>
      <c r="B270" s="14" t="s">
        <v>2</v>
      </c>
      <c r="C270" s="113">
        <v>27.12</v>
      </c>
      <c r="D270" s="15">
        <f>F265</f>
        <v>90388.372118787884</v>
      </c>
      <c r="E270" s="15">
        <f>C270*D270/100</f>
        <v>24513.326518615275</v>
      </c>
    </row>
    <row r="271" spans="1:6" ht="11.25" customHeight="1" thickBot="1" x14ac:dyDescent="0.25">
      <c r="F271" s="21">
        <f>+E270</f>
        <v>24513.326518615275</v>
      </c>
    </row>
    <row r="272" spans="1:6" ht="13.5" thickBot="1" x14ac:dyDescent="0.25"/>
    <row r="273" spans="1:6" ht="13.5" thickBot="1" x14ac:dyDescent="0.25">
      <c r="A273" s="24" t="s">
        <v>217</v>
      </c>
      <c r="B273" s="28"/>
      <c r="C273" s="28"/>
      <c r="D273" s="29"/>
      <c r="E273" s="30"/>
      <c r="F273" s="22">
        <f>F271</f>
        <v>24513.326518615275</v>
      </c>
    </row>
    <row r="274" spans="1:6" ht="11.25" customHeight="1" x14ac:dyDescent="0.2">
      <c r="A274" s="11"/>
      <c r="B274" s="11"/>
      <c r="C274" s="11"/>
      <c r="D274" s="23"/>
      <c r="E274" s="23"/>
      <c r="F274" s="31"/>
    </row>
    <row r="275" spans="1:6" ht="24.75" customHeight="1" thickBot="1" x14ac:dyDescent="0.25"/>
    <row r="276" spans="1:6" ht="12.6" customHeight="1" thickBot="1" x14ac:dyDescent="0.25">
      <c r="A276" s="24" t="s">
        <v>204</v>
      </c>
      <c r="B276" s="28"/>
      <c r="C276" s="28"/>
      <c r="D276" s="29"/>
      <c r="E276" s="30"/>
      <c r="F276" s="22">
        <f>F273+F265</f>
        <v>114901.69863740315</v>
      </c>
    </row>
    <row r="277" spans="1:6" ht="12.6" customHeight="1" x14ac:dyDescent="0.2">
      <c r="A277" s="11"/>
      <c r="F277" s="23"/>
    </row>
    <row r="278" spans="1:6" ht="12.6" customHeight="1" x14ac:dyDescent="0.2">
      <c r="A278" s="262" t="s">
        <v>283</v>
      </c>
      <c r="B278" s="243">
        <v>1049</v>
      </c>
      <c r="E278" s="245"/>
      <c r="F278" s="23"/>
    </row>
    <row r="279" spans="1:6" ht="12.6" customHeight="1" x14ac:dyDescent="0.2">
      <c r="A279" s="11"/>
      <c r="F279" s="23"/>
    </row>
    <row r="280" spans="1:6" ht="15.75" x14ac:dyDescent="0.2">
      <c r="A280" s="48" t="s">
        <v>275</v>
      </c>
      <c r="B280" s="260">
        <f>F276/B278</f>
        <v>109.53450775729567</v>
      </c>
      <c r="C280" s="48"/>
      <c r="D280" s="49"/>
      <c r="E280" s="49"/>
      <c r="F280" s="49"/>
    </row>
    <row r="301" spans="4:7" ht="9" customHeight="1" x14ac:dyDescent="0.2">
      <c r="G301" s="9"/>
    </row>
    <row r="302" spans="4:7" x14ac:dyDescent="0.2">
      <c r="D302" s="9"/>
      <c r="E302" s="9"/>
      <c r="F302" s="9"/>
    </row>
  </sheetData>
  <mergeCells count="8">
    <mergeCell ref="A4:F17"/>
    <mergeCell ref="A54:D54"/>
    <mergeCell ref="A31:C31"/>
    <mergeCell ref="A19:F19"/>
    <mergeCell ref="A20:F20"/>
    <mergeCell ref="A48:D48"/>
    <mergeCell ref="A22:F22"/>
    <mergeCell ref="A47:E47"/>
  </mergeCells>
  <phoneticPr fontId="9" type="noConversion"/>
  <hyperlinks>
    <hyperlink ref="A177" location="AbaRemun" display="3.1.2. Remuneração do Capital" xr:uid="{00000000-0004-0000-0000-000000000000}"/>
    <hyperlink ref="A161" location="AbaDeprec" display="3.1.1. Depreciação" xr:uid="{00000000-0004-0000-0000-000001000000}"/>
  </hyperlinks>
  <pageMargins left="0.9055118110236221" right="0.51181102362204722" top="0.74803149606299213" bottom="0.74803149606299213" header="0.31496062992125984" footer="0.31496062992125984"/>
  <pageSetup paperSize="9" scale="59" fitToHeight="0" orientation="portrait" r:id="rId1"/>
  <headerFooter alignWithMargins="0">
    <oddFooter>&amp;R&amp;P de &amp;N</oddFooter>
  </headerFooter>
  <rowBreaks count="3" manualBreakCount="3">
    <brk id="89" max="16383" man="1"/>
    <brk id="167" max="16383" man="1"/>
    <brk id="24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6"/>
  <sheetViews>
    <sheetView topLeftCell="A19" zoomScaleNormal="100" workbookViewId="0">
      <selection activeCell="D8" sqref="D8"/>
    </sheetView>
  </sheetViews>
  <sheetFormatPr defaultRowHeight="12.75" x14ac:dyDescent="0.2"/>
  <cols>
    <col min="1" max="1" width="13.5703125" style="1" customWidth="1"/>
    <col min="2" max="2" width="36.7109375" style="1" bestFit="1" customWidth="1"/>
    <col min="3" max="3" width="14.5703125" style="1" customWidth="1"/>
    <col min="4" max="4" width="37.28515625" style="1" customWidth="1"/>
    <col min="5" max="10" width="9.140625" style="1"/>
    <col min="11" max="11" width="11" style="1" bestFit="1" customWidth="1"/>
    <col min="12" max="16384" width="9.140625" style="1"/>
  </cols>
  <sheetData>
    <row r="1" spans="1:6" x14ac:dyDescent="0.2">
      <c r="A1" s="11" t="s">
        <v>181</v>
      </c>
    </row>
    <row r="2" spans="1:6" x14ac:dyDescent="0.2">
      <c r="A2" s="112" t="s">
        <v>224</v>
      </c>
    </row>
    <row r="3" spans="1:6" ht="13.5" thickBot="1" x14ac:dyDescent="0.25"/>
    <row r="4" spans="1:6" ht="18" x14ac:dyDescent="0.2">
      <c r="A4" s="280" t="s">
        <v>207</v>
      </c>
      <c r="B4" s="281"/>
      <c r="C4" s="282"/>
      <c r="D4" s="120"/>
      <c r="E4" s="120"/>
      <c r="F4" s="120"/>
    </row>
    <row r="5" spans="1:6" ht="14.25" x14ac:dyDescent="0.2">
      <c r="A5" s="137" t="s">
        <v>119</v>
      </c>
      <c r="B5" s="138" t="s">
        <v>120</v>
      </c>
      <c r="C5" s="139" t="s">
        <v>121</v>
      </c>
      <c r="D5" s="140"/>
    </row>
    <row r="6" spans="1:6" ht="14.25" x14ac:dyDescent="0.2">
      <c r="A6" s="137" t="s">
        <v>122</v>
      </c>
      <c r="B6" s="138" t="s">
        <v>34</v>
      </c>
      <c r="C6" s="141">
        <v>0.2</v>
      </c>
      <c r="D6" s="140"/>
    </row>
    <row r="7" spans="1:6" ht="14.25" x14ac:dyDescent="0.2">
      <c r="A7" s="137" t="s">
        <v>123</v>
      </c>
      <c r="B7" s="138" t="s">
        <v>124</v>
      </c>
      <c r="C7" s="141">
        <v>1.4999999999999999E-2</v>
      </c>
      <c r="D7" s="140"/>
    </row>
    <row r="8" spans="1:6" ht="14.25" x14ac:dyDescent="0.2">
      <c r="A8" s="137" t="s">
        <v>125</v>
      </c>
      <c r="B8" s="138" t="s">
        <v>126</v>
      </c>
      <c r="C8" s="141">
        <v>0.01</v>
      </c>
      <c r="D8" s="140"/>
    </row>
    <row r="9" spans="1:6" ht="14.25" x14ac:dyDescent="0.2">
      <c r="A9" s="137" t="s">
        <v>127</v>
      </c>
      <c r="B9" s="138" t="s">
        <v>128</v>
      </c>
      <c r="C9" s="141">
        <v>2E-3</v>
      </c>
      <c r="D9" s="140"/>
    </row>
    <row r="10" spans="1:6" ht="14.25" x14ac:dyDescent="0.2">
      <c r="A10" s="137" t="s">
        <v>129</v>
      </c>
      <c r="B10" s="138" t="s">
        <v>130</v>
      </c>
      <c r="C10" s="141">
        <v>6.0000000000000001E-3</v>
      </c>
      <c r="D10" s="140"/>
    </row>
    <row r="11" spans="1:6" ht="14.25" x14ac:dyDescent="0.2">
      <c r="A11" s="137" t="s">
        <v>131</v>
      </c>
      <c r="B11" s="138" t="s">
        <v>132</v>
      </c>
      <c r="C11" s="141">
        <v>2.5000000000000001E-2</v>
      </c>
      <c r="D11" s="140"/>
    </row>
    <row r="12" spans="1:6" ht="14.25" x14ac:dyDescent="0.2">
      <c r="A12" s="137" t="s">
        <v>133</v>
      </c>
      <c r="B12" s="138" t="s">
        <v>134</v>
      </c>
      <c r="C12" s="141">
        <v>0.03</v>
      </c>
      <c r="D12" s="140"/>
    </row>
    <row r="13" spans="1:6" ht="14.25" x14ac:dyDescent="0.2">
      <c r="A13" s="137" t="s">
        <v>135</v>
      </c>
      <c r="B13" s="138" t="s">
        <v>35</v>
      </c>
      <c r="C13" s="141">
        <v>0.08</v>
      </c>
      <c r="D13" s="140"/>
    </row>
    <row r="14" spans="1:6" ht="15" x14ac:dyDescent="0.2">
      <c r="A14" s="137" t="s">
        <v>136</v>
      </c>
      <c r="B14" s="142" t="s">
        <v>137</v>
      </c>
      <c r="C14" s="143">
        <f>SUM(C6:C13)</f>
        <v>0.36800000000000005</v>
      </c>
      <c r="D14" s="140"/>
    </row>
    <row r="15" spans="1:6" ht="15" x14ac:dyDescent="0.2">
      <c r="A15" s="144"/>
      <c r="B15" s="145"/>
      <c r="C15" s="146"/>
      <c r="D15" s="140"/>
    </row>
    <row r="16" spans="1:6" ht="14.25" x14ac:dyDescent="0.2">
      <c r="A16" s="137" t="s">
        <v>138</v>
      </c>
      <c r="B16" s="147" t="s">
        <v>139</v>
      </c>
      <c r="C16" s="141">
        <f>ROUND(IF('3.CAGED'!C39&gt;24,(1-12/'3.CAGED'!C39)*0.1111,0.1111-C25),4)</f>
        <v>6.1499999999999999E-2</v>
      </c>
      <c r="D16" s="140"/>
    </row>
    <row r="17" spans="1:8" ht="14.25" x14ac:dyDescent="0.2">
      <c r="A17" s="137" t="s">
        <v>140</v>
      </c>
      <c r="B17" s="147" t="s">
        <v>141</v>
      </c>
      <c r="C17" s="141">
        <f>ROUND('3.CAGED'!C33/'3.CAGED'!C30,4)</f>
        <v>8.3299999999999999E-2</v>
      </c>
      <c r="D17" s="140"/>
    </row>
    <row r="18" spans="1:8" ht="14.25" x14ac:dyDescent="0.2">
      <c r="A18" s="137" t="s">
        <v>197</v>
      </c>
      <c r="B18" s="147" t="s">
        <v>143</v>
      </c>
      <c r="C18" s="141">
        <v>5.9999999999999995E-4</v>
      </c>
      <c r="D18" s="140"/>
    </row>
    <row r="19" spans="1:8" ht="14.25" x14ac:dyDescent="0.2">
      <c r="A19" s="137" t="s">
        <v>142</v>
      </c>
      <c r="B19" s="147" t="s">
        <v>145</v>
      </c>
      <c r="C19" s="141">
        <v>8.2000000000000007E-3</v>
      </c>
      <c r="D19" s="140"/>
    </row>
    <row r="20" spans="1:8" ht="14.25" x14ac:dyDescent="0.2">
      <c r="A20" s="137" t="s">
        <v>144</v>
      </c>
      <c r="B20" s="147" t="s">
        <v>147</v>
      </c>
      <c r="C20" s="141">
        <v>3.0999999999999999E-3</v>
      </c>
      <c r="D20" s="140"/>
    </row>
    <row r="21" spans="1:8" ht="14.25" x14ac:dyDescent="0.2">
      <c r="A21" s="137" t="s">
        <v>146</v>
      </c>
      <c r="B21" s="147" t="s">
        <v>148</v>
      </c>
      <c r="C21" s="141">
        <v>1.66E-2</v>
      </c>
      <c r="D21" s="140"/>
    </row>
    <row r="22" spans="1:8" ht="15" x14ac:dyDescent="0.2">
      <c r="A22" s="137" t="s">
        <v>149</v>
      </c>
      <c r="B22" s="142" t="s">
        <v>150</v>
      </c>
      <c r="C22" s="143">
        <f>SUM(C16:C21)</f>
        <v>0.17329999999999998</v>
      </c>
      <c r="D22" s="148"/>
    </row>
    <row r="23" spans="1:8" ht="15" x14ac:dyDescent="0.2">
      <c r="A23" s="144"/>
      <c r="B23" s="145"/>
      <c r="C23" s="146"/>
      <c r="D23" s="148"/>
    </row>
    <row r="24" spans="1:8" ht="14.25" x14ac:dyDescent="0.2">
      <c r="A24" s="137" t="s">
        <v>151</v>
      </c>
      <c r="B24" s="138" t="s">
        <v>152</v>
      </c>
      <c r="C24" s="141">
        <f>ROUND(('3.CAGED'!C38) *'3.CAGED'!C29/'3.CAGED'!C30,4)</f>
        <v>4.5100000000000001E-2</v>
      </c>
      <c r="D24" s="140"/>
      <c r="E24" s="149"/>
    </row>
    <row r="25" spans="1:8" ht="14.25" x14ac:dyDescent="0.2">
      <c r="A25" s="137" t="s">
        <v>196</v>
      </c>
      <c r="B25" s="138" t="s">
        <v>154</v>
      </c>
      <c r="C25" s="141">
        <f>ROUND(IF('3.CAGED'!C39&gt;12,12/'3.CAGED'!C39*0.1111,0.1111),4)</f>
        <v>4.9599999999999998E-2</v>
      </c>
      <c r="D25" s="140"/>
      <c r="H25" s="150"/>
    </row>
    <row r="26" spans="1:8" ht="14.25" x14ac:dyDescent="0.2">
      <c r="A26" s="137" t="s">
        <v>153</v>
      </c>
      <c r="B26" s="138" t="s">
        <v>156</v>
      </c>
      <c r="C26" s="141">
        <f>ROUND(('3.CAGED'!C32+'3.CAGED'!C31)/360*C24,4)</f>
        <v>5.0000000000000001E-3</v>
      </c>
      <c r="D26" s="140"/>
    </row>
    <row r="27" spans="1:8" ht="14.25" x14ac:dyDescent="0.2">
      <c r="A27" s="137" t="s">
        <v>155</v>
      </c>
      <c r="B27" s="138" t="s">
        <v>158</v>
      </c>
      <c r="C27" s="141">
        <f>ROUND(('3.CAGED'!C30+'3.CAGED'!C31+'3.CAGED'!C33)/'3.CAGED'!C28*'3.CAGED'!C35*'3.CAGED'!C36*'3.CAGED'!C29/'3.CAGED'!C30,4)</f>
        <v>4.4900000000000002E-2</v>
      </c>
      <c r="D27" s="140"/>
      <c r="G27" s="149"/>
    </row>
    <row r="28" spans="1:8" ht="14.25" x14ac:dyDescent="0.2">
      <c r="A28" s="137" t="s">
        <v>157</v>
      </c>
      <c r="B28" s="138" t="s">
        <v>159</v>
      </c>
      <c r="C28" s="141">
        <f>ROUND(('3.CAGED'!C32/'3.CAGED'!C30)*'3.CAGED'!C29/12,4)</f>
        <v>3.0999999999999999E-3</v>
      </c>
      <c r="D28" s="140"/>
    </row>
    <row r="29" spans="1:8" ht="15" x14ac:dyDescent="0.2">
      <c r="A29" s="137" t="s">
        <v>160</v>
      </c>
      <c r="B29" s="142" t="s">
        <v>161</v>
      </c>
      <c r="C29" s="143">
        <f>SUM(C24:C28)</f>
        <v>0.1477</v>
      </c>
      <c r="D29" s="148"/>
    </row>
    <row r="30" spans="1:8" ht="15" x14ac:dyDescent="0.2">
      <c r="A30" s="144"/>
      <c r="B30" s="145"/>
      <c r="C30" s="146"/>
      <c r="D30" s="148"/>
    </row>
    <row r="31" spans="1:8" ht="14.25" x14ac:dyDescent="0.2">
      <c r="A31" s="137" t="s">
        <v>162</v>
      </c>
      <c r="B31" s="138" t="s">
        <v>163</v>
      </c>
      <c r="C31" s="141">
        <f>ROUND(C14*C22,4)</f>
        <v>6.3799999999999996E-2</v>
      </c>
      <c r="D31" s="140"/>
    </row>
    <row r="32" spans="1:8" ht="28.5" x14ac:dyDescent="0.2">
      <c r="A32" s="137" t="s">
        <v>164</v>
      </c>
      <c r="B32" s="151" t="s">
        <v>165</v>
      </c>
      <c r="C32" s="141">
        <f>ROUND((C24*C14),4)</f>
        <v>1.66E-2</v>
      </c>
      <c r="D32" s="140"/>
    </row>
    <row r="33" spans="1:4" ht="15" x14ac:dyDescent="0.2">
      <c r="A33" s="137" t="s">
        <v>166</v>
      </c>
      <c r="B33" s="142" t="s">
        <v>167</v>
      </c>
      <c r="C33" s="143">
        <f>SUM(C31:C32)</f>
        <v>8.0399999999999999E-2</v>
      </c>
      <c r="D33" s="148"/>
    </row>
    <row r="34" spans="1:4" ht="15.75" thickBot="1" x14ac:dyDescent="0.25">
      <c r="A34" s="152"/>
      <c r="B34" s="153" t="s">
        <v>168</v>
      </c>
      <c r="C34" s="154">
        <f>C33+C29+C22+C14</f>
        <v>0.76940000000000008</v>
      </c>
      <c r="D34" s="148"/>
    </row>
    <row r="35" spans="1:4" ht="15" x14ac:dyDescent="0.2">
      <c r="A35" s="140"/>
      <c r="B35" s="155"/>
      <c r="C35" s="156"/>
      <c r="D35" s="157"/>
    </row>
    <row r="36" spans="1:4" ht="14.25" x14ac:dyDescent="0.2">
      <c r="A36" s="140"/>
      <c r="B36" s="140"/>
      <c r="C36" s="158"/>
      <c r="D36" s="159"/>
    </row>
    <row r="37" spans="1:4" ht="14.25" x14ac:dyDescent="0.2">
      <c r="A37" s="140"/>
      <c r="B37" s="140"/>
      <c r="C37" s="158"/>
      <c r="D37" s="140"/>
    </row>
    <row r="38" spans="1:4" ht="14.25" x14ac:dyDescent="0.2">
      <c r="A38" s="140"/>
      <c r="B38" s="140"/>
      <c r="C38" s="158"/>
      <c r="D38" s="140"/>
    </row>
    <row r="39" spans="1:4" ht="14.25" x14ac:dyDescent="0.2">
      <c r="A39" s="140"/>
      <c r="B39" s="140"/>
      <c r="C39" s="158"/>
      <c r="D39" s="140"/>
    </row>
    <row r="40" spans="1:4" ht="15" x14ac:dyDescent="0.2">
      <c r="A40" s="140"/>
      <c r="B40" s="155"/>
      <c r="C40" s="156"/>
      <c r="D40" s="140"/>
    </row>
    <row r="41" spans="1:4" ht="15" x14ac:dyDescent="0.2">
      <c r="A41" s="148"/>
      <c r="B41" s="155"/>
      <c r="C41" s="156"/>
      <c r="D41" s="148"/>
    </row>
    <row r="42" spans="1:4" ht="16.5" x14ac:dyDescent="0.2">
      <c r="A42" s="160"/>
    </row>
    <row r="43" spans="1:4" x14ac:dyDescent="0.2">
      <c r="A43" s="161"/>
      <c r="B43" s="162"/>
      <c r="C43" s="162"/>
    </row>
    <row r="44" spans="1:4" ht="14.25" x14ac:dyDescent="0.2">
      <c r="A44" s="140"/>
      <c r="B44" s="163"/>
      <c r="C44" s="162"/>
    </row>
    <row r="45" spans="1:4" ht="14.25" x14ac:dyDescent="0.2">
      <c r="A45" s="140"/>
      <c r="B45" s="163"/>
      <c r="C45" s="140"/>
    </row>
    <row r="46" spans="1:4" ht="14.25" x14ac:dyDescent="0.2">
      <c r="A46" s="140"/>
      <c r="B46" s="158"/>
      <c r="C46" s="162"/>
    </row>
    <row r="47" spans="1:4" ht="14.25" x14ac:dyDescent="0.2">
      <c r="A47" s="140"/>
      <c r="B47" s="163"/>
      <c r="C47" s="140"/>
    </row>
    <row r="48" spans="1:4" ht="14.25" x14ac:dyDescent="0.2">
      <c r="A48" s="140"/>
      <c r="B48" s="158"/>
      <c r="C48" s="162"/>
    </row>
    <row r="49" spans="1:3" ht="14.25" x14ac:dyDescent="0.2">
      <c r="A49" s="140"/>
      <c r="B49" s="163"/>
      <c r="C49" s="140"/>
    </row>
    <row r="50" spans="1:3" ht="14.25" x14ac:dyDescent="0.2">
      <c r="A50" s="140"/>
      <c r="B50" s="158"/>
      <c r="C50" s="162"/>
    </row>
    <row r="51" spans="1:3" ht="14.25" x14ac:dyDescent="0.2">
      <c r="A51" s="140"/>
      <c r="B51" s="163"/>
      <c r="C51" s="140"/>
    </row>
    <row r="52" spans="1:3" ht="14.25" x14ac:dyDescent="0.2">
      <c r="A52" s="140"/>
      <c r="B52" s="158"/>
      <c r="C52" s="162"/>
    </row>
    <row r="53" spans="1:3" ht="16.5" x14ac:dyDescent="0.2">
      <c r="A53" s="160"/>
    </row>
    <row r="56" spans="1:3" x14ac:dyDescent="0.2">
      <c r="A56" s="89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topLeftCell="A3" zoomScaleNormal="100" workbookViewId="0">
      <selection activeCell="C12" sqref="C12"/>
    </sheetView>
  </sheetViews>
  <sheetFormatPr defaultRowHeight="12.75" x14ac:dyDescent="0.2"/>
  <cols>
    <col min="1" max="1" width="8.5703125" style="1" customWidth="1"/>
    <col min="2" max="2" width="75.85546875" style="1" customWidth="1"/>
    <col min="3" max="3" width="13.7109375" style="1" customWidth="1"/>
    <col min="4" max="4" width="10.28515625" style="1" hidden="1" customWidth="1"/>
    <col min="5" max="5" width="13.7109375" style="1" hidden="1" customWidth="1"/>
    <col min="6" max="6" width="14.42578125" style="1" hidden="1" customWidth="1"/>
    <col min="7" max="7" width="12.7109375" style="1" hidden="1" customWidth="1"/>
    <col min="8" max="8" width="4.42578125" style="1" hidden="1" customWidth="1"/>
    <col min="9" max="9" width="6.85546875" style="1" hidden="1" customWidth="1"/>
    <col min="10" max="10" width="3.28515625" style="1" hidden="1" customWidth="1"/>
    <col min="11" max="11" width="0" style="1" hidden="1" customWidth="1"/>
    <col min="12" max="16384" width="9.140625" style="1"/>
  </cols>
  <sheetData>
    <row r="1" spans="1:3" x14ac:dyDescent="0.2">
      <c r="A1" s="90" t="s">
        <v>218</v>
      </c>
    </row>
    <row r="3" spans="1:3" x14ac:dyDescent="0.2">
      <c r="A3" s="1" t="s">
        <v>188</v>
      </c>
    </row>
    <row r="4" spans="1:3" x14ac:dyDescent="0.2">
      <c r="A4" s="232" t="s">
        <v>184</v>
      </c>
    </row>
    <row r="5" spans="1:3" ht="25.5" customHeight="1" x14ac:dyDescent="0.2">
      <c r="A5" s="286" t="s">
        <v>229</v>
      </c>
      <c r="B5" s="285"/>
      <c r="C5" s="285"/>
    </row>
    <row r="6" spans="1:3" x14ac:dyDescent="0.2">
      <c r="A6" s="1" t="s">
        <v>185</v>
      </c>
    </row>
    <row r="7" spans="1:3" ht="26.25" customHeight="1" x14ac:dyDescent="0.2">
      <c r="A7" s="285" t="s">
        <v>186</v>
      </c>
      <c r="B7" s="285"/>
      <c r="C7" s="285"/>
    </row>
    <row r="8" spans="1:3" x14ac:dyDescent="0.2">
      <c r="A8" s="1" t="s">
        <v>187</v>
      </c>
    </row>
    <row r="9" spans="1:3" x14ac:dyDescent="0.2">
      <c r="A9" s="1" t="s">
        <v>219</v>
      </c>
    </row>
    <row r="10" spans="1:3" ht="13.5" thickBot="1" x14ac:dyDescent="0.25"/>
    <row r="11" spans="1:3" ht="18" x14ac:dyDescent="0.25">
      <c r="B11" s="283" t="s">
        <v>205</v>
      </c>
      <c r="C11" s="284"/>
    </row>
    <row r="12" spans="1:3" ht="15" x14ac:dyDescent="0.25">
      <c r="B12" s="124" t="s">
        <v>183</v>
      </c>
      <c r="C12" s="164"/>
    </row>
    <row r="13" spans="1:3" ht="15" x14ac:dyDescent="0.25">
      <c r="B13" s="125" t="s">
        <v>100</v>
      </c>
      <c r="C13" s="126">
        <v>2376</v>
      </c>
    </row>
    <row r="14" spans="1:3" ht="15" x14ac:dyDescent="0.25">
      <c r="B14" s="127" t="s">
        <v>101</v>
      </c>
      <c r="C14" s="126">
        <v>2746</v>
      </c>
    </row>
    <row r="15" spans="1:3" ht="14.25" x14ac:dyDescent="0.2">
      <c r="B15" s="165" t="s">
        <v>102</v>
      </c>
      <c r="C15" s="166">
        <v>157</v>
      </c>
    </row>
    <row r="16" spans="1:3" ht="14.25" x14ac:dyDescent="0.2">
      <c r="B16" s="165" t="s">
        <v>103</v>
      </c>
      <c r="C16" s="166">
        <v>2589</v>
      </c>
    </row>
    <row r="17" spans="1:7" ht="14.25" x14ac:dyDescent="0.2">
      <c r="B17" s="165" t="s">
        <v>104</v>
      </c>
      <c r="C17" s="166">
        <v>336</v>
      </c>
    </row>
    <row r="18" spans="1:7" ht="14.25" x14ac:dyDescent="0.2">
      <c r="B18" s="165" t="s">
        <v>105</v>
      </c>
      <c r="C18" s="166">
        <v>24</v>
      </c>
    </row>
    <row r="19" spans="1:7" ht="14.25" x14ac:dyDescent="0.2">
      <c r="B19" s="165" t="s">
        <v>106</v>
      </c>
      <c r="C19" s="166">
        <v>448</v>
      </c>
    </row>
    <row r="20" spans="1:7" ht="14.25" x14ac:dyDescent="0.2">
      <c r="B20" s="165" t="s">
        <v>107</v>
      </c>
      <c r="C20" s="166">
        <v>1</v>
      </c>
    </row>
    <row r="21" spans="1:7" ht="14.25" x14ac:dyDescent="0.2">
      <c r="B21" s="165" t="s">
        <v>108</v>
      </c>
      <c r="C21" s="166">
        <v>24</v>
      </c>
    </row>
    <row r="22" spans="1:7" ht="14.25" x14ac:dyDescent="0.2">
      <c r="B22" s="167" t="s">
        <v>109</v>
      </c>
      <c r="C22" s="168">
        <v>0</v>
      </c>
    </row>
    <row r="23" spans="1:7" ht="15" x14ac:dyDescent="0.25">
      <c r="A23" s="1" t="s">
        <v>110</v>
      </c>
      <c r="B23" s="124" t="s">
        <v>111</v>
      </c>
      <c r="C23" s="164"/>
    </row>
    <row r="24" spans="1:7" ht="14.25" x14ac:dyDescent="0.2">
      <c r="B24" s="169" t="s">
        <v>239</v>
      </c>
      <c r="C24" s="170">
        <v>6342</v>
      </c>
    </row>
    <row r="25" spans="1:7" ht="14.25" x14ac:dyDescent="0.2">
      <c r="B25" s="165" t="s">
        <v>238</v>
      </c>
      <c r="C25" s="166">
        <v>5133</v>
      </c>
    </row>
    <row r="26" spans="1:7" ht="14.25" x14ac:dyDescent="0.2">
      <c r="B26" s="165" t="s">
        <v>235</v>
      </c>
      <c r="C26" s="166">
        <v>-1209</v>
      </c>
    </row>
    <row r="27" spans="1:7" ht="14.25" x14ac:dyDescent="0.2">
      <c r="B27" s="171"/>
      <c r="C27" s="172"/>
    </row>
    <row r="28" spans="1:7" ht="15" x14ac:dyDescent="0.25">
      <c r="B28" s="128" t="s">
        <v>112</v>
      </c>
      <c r="C28" s="233">
        <f>MEDIAN(C13,C14)/MEDIAN(C24,C25)</f>
        <v>0.44636165577342046</v>
      </c>
      <c r="G28" s="1">
        <f>12/C28</f>
        <v>26.884029675907851</v>
      </c>
    </row>
    <row r="29" spans="1:7" ht="15" x14ac:dyDescent="0.25">
      <c r="B29" s="125" t="s">
        <v>113</v>
      </c>
      <c r="C29" s="233">
        <f>C16/MEDIAN(C24,C25)</f>
        <v>0.45124183006535945</v>
      </c>
    </row>
    <row r="30" spans="1:7" ht="15" x14ac:dyDescent="0.25">
      <c r="B30" s="130" t="s">
        <v>114</v>
      </c>
      <c r="C30" s="129">
        <v>360</v>
      </c>
    </row>
    <row r="31" spans="1:7" ht="15" x14ac:dyDescent="0.25">
      <c r="B31" s="125" t="s">
        <v>220</v>
      </c>
      <c r="C31" s="129">
        <v>10</v>
      </c>
    </row>
    <row r="32" spans="1:7" ht="15" x14ac:dyDescent="0.25">
      <c r="B32" s="125" t="s">
        <v>221</v>
      </c>
      <c r="C32" s="129">
        <v>30</v>
      </c>
      <c r="G32" s="1">
        <f>TRUNC(G37)</f>
        <v>2</v>
      </c>
    </row>
    <row r="33" spans="2:11" ht="15" x14ac:dyDescent="0.25">
      <c r="B33" s="125" t="s">
        <v>222</v>
      </c>
      <c r="C33" s="129">
        <v>30</v>
      </c>
    </row>
    <row r="34" spans="2:11" s="90" customFormat="1" ht="15" x14ac:dyDescent="0.25">
      <c r="B34" s="125" t="s">
        <v>115</v>
      </c>
      <c r="C34" s="173">
        <f>MEDIAN(C24,C25)</f>
        <v>5737.5</v>
      </c>
    </row>
    <row r="35" spans="2:11" s="90" customFormat="1" ht="15" x14ac:dyDescent="0.25">
      <c r="B35" s="125" t="s">
        <v>35</v>
      </c>
      <c r="C35" s="174">
        <v>0.08</v>
      </c>
      <c r="K35" s="90">
        <f>IF(C39&gt;12,C39-12,C39)</f>
        <v>14.884029675907851</v>
      </c>
    </row>
    <row r="36" spans="2:11" s="90" customFormat="1" ht="15" x14ac:dyDescent="0.25">
      <c r="B36" s="125" t="s">
        <v>116</v>
      </c>
      <c r="C36" s="174">
        <v>0.5</v>
      </c>
      <c r="K36" s="90" t="e">
        <f>IF(#REF!&gt;12,#REF!-12,#REF!)</f>
        <v>#REF!</v>
      </c>
    </row>
    <row r="37" spans="2:11" s="90" customFormat="1" ht="15" x14ac:dyDescent="0.25">
      <c r="B37" s="125" t="s">
        <v>117</v>
      </c>
      <c r="C37" s="234">
        <f>((1/C28)-TRUNC(E37))</f>
        <v>0.24033580632565421</v>
      </c>
      <c r="D37" s="90">
        <f>TRUNC(E37)</f>
        <v>2</v>
      </c>
      <c r="E37" s="90">
        <f>1/C28</f>
        <v>2.2403358063256542</v>
      </c>
      <c r="F37" s="90">
        <f>((1/C28)-TRUNC(E37))</f>
        <v>0.24033580632565421</v>
      </c>
      <c r="G37" s="90">
        <f>12*F37</f>
        <v>2.8840296759078505</v>
      </c>
      <c r="K37" s="90" t="e">
        <f>IF(#REF!&gt;12,#REF!-12,#REF!)</f>
        <v>#REF!</v>
      </c>
    </row>
    <row r="38" spans="2:11" s="90" customFormat="1" ht="15" x14ac:dyDescent="0.25">
      <c r="B38" s="124" t="s">
        <v>118</v>
      </c>
      <c r="C38" s="131">
        <f>30+D38</f>
        <v>36</v>
      </c>
      <c r="D38" s="90">
        <f>3*D37</f>
        <v>6</v>
      </c>
      <c r="G38" s="90">
        <f>G37/12*40/360</f>
        <v>2.6703978480628245E-2</v>
      </c>
      <c r="K38" s="90" t="e">
        <f>IF(#REF!&gt;12,#REF!-12,#REF!)</f>
        <v>#REF!</v>
      </c>
    </row>
    <row r="39" spans="2:11" s="90" customFormat="1" ht="15.75" thickBot="1" x14ac:dyDescent="0.3">
      <c r="B39" s="132" t="s">
        <v>225</v>
      </c>
      <c r="C39" s="235">
        <f>12/C28</f>
        <v>26.884029675907851</v>
      </c>
      <c r="K39" s="90" t="e">
        <f>IF(#REF!&gt;12,#REF!-12,#REF!)</f>
        <v>#REF!</v>
      </c>
    </row>
    <row r="40" spans="2:11" x14ac:dyDescent="0.2">
      <c r="K40" s="1" t="e">
        <f t="shared" ref="K40:K41" si="0">IF(K39&gt;12,K39-12,K39)</f>
        <v>#REF!</v>
      </c>
    </row>
    <row r="41" spans="2:11" x14ac:dyDescent="0.2">
      <c r="K41" s="1" t="e">
        <f t="shared" si="0"/>
        <v>#REF!</v>
      </c>
    </row>
  </sheetData>
  <mergeCells count="3">
    <mergeCell ref="B11:C11"/>
    <mergeCell ref="A7:C7"/>
    <mergeCell ref="A5:C5"/>
  </mergeCells>
  <pageMargins left="0.90551181102362199" right="0.51181102362204722" top="0.74803149606299213" bottom="0.74803149606299213" header="0.31496062992125984" footer="0.31496062992125984"/>
  <pageSetup paperSize="9" scale="98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topLeftCell="A7" zoomScaleNormal="100" workbookViewId="0">
      <selection activeCell="E14" sqref="E14"/>
    </sheetView>
  </sheetViews>
  <sheetFormatPr defaultRowHeight="12.75" x14ac:dyDescent="0.2"/>
  <cols>
    <col min="1" max="1" width="41.85546875" bestFit="1" customWidth="1"/>
    <col min="2" max="2" width="5.5703125" bestFit="1" customWidth="1"/>
    <col min="4" max="4" width="9.7109375" bestFit="1" customWidth="1"/>
    <col min="5" max="5" width="8" style="97" bestFit="1" customWidth="1"/>
    <col min="6" max="6" width="9.7109375" bestFit="1" customWidth="1"/>
  </cols>
  <sheetData>
    <row r="1" spans="1:8" s="117" customFormat="1" ht="14.25" x14ac:dyDescent="0.2">
      <c r="A1" s="11" t="s">
        <v>181</v>
      </c>
      <c r="B1" s="8"/>
      <c r="C1" s="8"/>
      <c r="E1" s="118"/>
    </row>
    <row r="2" spans="1:8" s="117" customFormat="1" ht="14.25" x14ac:dyDescent="0.2">
      <c r="A2" s="112" t="s">
        <v>226</v>
      </c>
      <c r="B2" s="8"/>
      <c r="C2" s="8"/>
      <c r="E2" s="118"/>
    </row>
    <row r="3" spans="1:8" s="117" customFormat="1" ht="14.25" x14ac:dyDescent="0.2">
      <c r="A3" s="9" t="s">
        <v>182</v>
      </c>
      <c r="B3" s="8"/>
      <c r="C3" s="8"/>
      <c r="E3" s="118"/>
    </row>
    <row r="4" spans="1:8" s="117" customFormat="1" ht="14.25" x14ac:dyDescent="0.2">
      <c r="A4" s="112"/>
      <c r="B4" s="8"/>
      <c r="C4" s="8"/>
      <c r="E4" s="118"/>
    </row>
    <row r="5" spans="1:8" s="117" customFormat="1" ht="15" thickBot="1" x14ac:dyDescent="0.25">
      <c r="B5" s="8"/>
      <c r="C5" s="8"/>
      <c r="E5" s="118"/>
    </row>
    <row r="6" spans="1:8" ht="15.75" x14ac:dyDescent="0.2">
      <c r="A6" s="292" t="s">
        <v>206</v>
      </c>
      <c r="B6" s="293"/>
      <c r="C6" s="293"/>
      <c r="D6" s="293"/>
      <c r="E6" s="293"/>
      <c r="F6" s="294"/>
    </row>
    <row r="7" spans="1:8" ht="16.5" thickBot="1" x14ac:dyDescent="0.25">
      <c r="A7" s="220"/>
      <c r="B7" s="221"/>
      <c r="C7" s="221"/>
      <c r="D7" s="221"/>
      <c r="E7" s="221"/>
      <c r="F7" s="222"/>
    </row>
    <row r="8" spans="1:8" ht="15" x14ac:dyDescent="0.25">
      <c r="A8" s="175"/>
      <c r="B8" s="8"/>
      <c r="C8" s="8"/>
      <c r="D8" s="289" t="s">
        <v>223</v>
      </c>
      <c r="E8" s="290"/>
      <c r="F8" s="291"/>
      <c r="G8" s="117"/>
      <c r="H8" s="117"/>
    </row>
    <row r="9" spans="1:8" ht="15" thickBot="1" x14ac:dyDescent="0.25">
      <c r="A9" s="171"/>
      <c r="B9" s="117"/>
      <c r="C9" s="117"/>
      <c r="D9" s="176" t="s">
        <v>169</v>
      </c>
      <c r="E9" s="177" t="s">
        <v>170</v>
      </c>
      <c r="F9" s="178" t="s">
        <v>171</v>
      </c>
      <c r="G9" s="117"/>
      <c r="H9" s="117"/>
    </row>
    <row r="10" spans="1:8" ht="14.25" x14ac:dyDescent="0.2">
      <c r="A10" s="179" t="s">
        <v>64</v>
      </c>
      <c r="B10" s="180" t="s">
        <v>65</v>
      </c>
      <c r="C10" s="181">
        <v>5.0799999999999998E-2</v>
      </c>
      <c r="D10" s="203">
        <v>2.9700000000000001E-2</v>
      </c>
      <c r="E10" s="204">
        <v>5.0799999999999998E-2</v>
      </c>
      <c r="F10" s="205">
        <v>6.2700000000000006E-2</v>
      </c>
      <c r="G10" s="117"/>
      <c r="H10" s="117"/>
    </row>
    <row r="11" spans="1:8" ht="14.25" x14ac:dyDescent="0.2">
      <c r="A11" s="184" t="s">
        <v>66</v>
      </c>
      <c r="B11" s="185" t="s">
        <v>67</v>
      </c>
      <c r="C11" s="186">
        <v>1.3299999999999999E-2</v>
      </c>
      <c r="D11" s="203">
        <f>0.3%+0.56%</f>
        <v>8.6E-3</v>
      </c>
      <c r="E11" s="204">
        <f>0.48%+0.85%</f>
        <v>1.3299999999999999E-2</v>
      </c>
      <c r="F11" s="205">
        <f>0.82%+0.89%</f>
        <v>1.7099999999999997E-2</v>
      </c>
      <c r="G11" s="117"/>
      <c r="H11" s="117"/>
    </row>
    <row r="12" spans="1:8" ht="14.25" x14ac:dyDescent="0.2">
      <c r="A12" s="184" t="s">
        <v>68</v>
      </c>
      <c r="B12" s="185" t="s">
        <v>69</v>
      </c>
      <c r="C12" s="186">
        <v>0.1085</v>
      </c>
      <c r="D12" s="203">
        <v>7.7799999999999994E-2</v>
      </c>
      <c r="E12" s="204">
        <v>0.1085</v>
      </c>
      <c r="F12" s="205">
        <v>0.13550000000000001</v>
      </c>
      <c r="G12" s="117"/>
      <c r="H12" s="117"/>
    </row>
    <row r="13" spans="1:8" ht="14.25" x14ac:dyDescent="0.2">
      <c r="A13" s="184" t="s">
        <v>70</v>
      </c>
      <c r="B13" s="185" t="s">
        <v>71</v>
      </c>
      <c r="C13" s="187">
        <f>(1+E13)^(E14/252)-1</f>
        <v>6.0156215333273533E-3</v>
      </c>
      <c r="D13" s="182" t="s">
        <v>172</v>
      </c>
      <c r="E13" s="188">
        <v>6.5000000000000002E-2</v>
      </c>
      <c r="F13" s="183"/>
      <c r="G13" s="117"/>
      <c r="H13" s="117"/>
    </row>
    <row r="14" spans="1:8" ht="14.25" x14ac:dyDescent="0.2">
      <c r="A14" s="184" t="s">
        <v>72</v>
      </c>
      <c r="B14" s="287" t="s">
        <v>73</v>
      </c>
      <c r="C14" s="186">
        <v>0.03</v>
      </c>
      <c r="D14" s="165" t="s">
        <v>173</v>
      </c>
      <c r="E14" s="189">
        <v>24</v>
      </c>
      <c r="F14" s="190"/>
      <c r="G14" s="117"/>
      <c r="H14" s="117"/>
    </row>
    <row r="15" spans="1:8" ht="15" thickBot="1" x14ac:dyDescent="0.25">
      <c r="A15" s="191" t="s">
        <v>74</v>
      </c>
      <c r="B15" s="288"/>
      <c r="C15" s="192">
        <v>3.6499999999999998E-2</v>
      </c>
      <c r="D15" s="165"/>
      <c r="E15" s="193"/>
      <c r="F15" s="190"/>
      <c r="G15" s="117"/>
      <c r="H15" s="117"/>
    </row>
    <row r="16" spans="1:8" ht="14.25" x14ac:dyDescent="0.2">
      <c r="A16" s="194" t="s">
        <v>75</v>
      </c>
      <c r="B16" s="195"/>
      <c r="C16" s="196"/>
      <c r="D16" s="165"/>
      <c r="E16" s="193"/>
      <c r="F16" s="190"/>
      <c r="G16" s="117"/>
      <c r="H16" s="117"/>
    </row>
    <row r="17" spans="1:8" ht="15" thickBot="1" x14ac:dyDescent="0.25">
      <c r="A17" s="197" t="s">
        <v>76</v>
      </c>
      <c r="B17" s="198"/>
      <c r="C17" s="199"/>
      <c r="D17" s="165"/>
      <c r="E17" s="193"/>
      <c r="F17" s="190"/>
      <c r="G17" s="117"/>
      <c r="H17" s="117"/>
    </row>
    <row r="18" spans="1:8" ht="15.75" thickBot="1" x14ac:dyDescent="0.25">
      <c r="A18" s="200" t="s">
        <v>77</v>
      </c>
      <c r="B18" s="201"/>
      <c r="C18" s="202">
        <f>ROUND((((1+C10+C11)*(1+C12)*(1+C13))/(1-(C14+C15))-1),4)</f>
        <v>0.2712</v>
      </c>
      <c r="D18" s="206">
        <v>0.21429999999999999</v>
      </c>
      <c r="E18" s="207">
        <v>0.2717</v>
      </c>
      <c r="F18" s="208">
        <v>0.3362</v>
      </c>
      <c r="G18" s="117"/>
      <c r="H18" s="117"/>
    </row>
    <row r="19" spans="1:8" ht="14.25" x14ac:dyDescent="0.2">
      <c r="A19" s="117"/>
      <c r="B19" s="117"/>
      <c r="C19" s="117"/>
      <c r="D19" s="117"/>
      <c r="E19" s="118"/>
      <c r="F19" s="117"/>
      <c r="G19" s="117"/>
      <c r="H19" s="117"/>
    </row>
    <row r="20" spans="1:8" ht="14.25" x14ac:dyDescent="0.2">
      <c r="A20" s="117"/>
      <c r="B20" s="117"/>
      <c r="C20" s="117"/>
      <c r="D20" s="117"/>
      <c r="E20" s="118"/>
      <c r="F20" s="117"/>
      <c r="G20" s="117"/>
      <c r="H20" s="117"/>
    </row>
    <row r="21" spans="1:8" ht="14.25" x14ac:dyDescent="0.2">
      <c r="A21" s="117"/>
      <c r="B21" s="117"/>
      <c r="C21" s="117"/>
      <c r="D21" s="117"/>
      <c r="E21" s="118"/>
      <c r="F21" s="117"/>
      <c r="G21" s="117"/>
      <c r="H21" s="117"/>
    </row>
    <row r="22" spans="1:8" ht="14.25" x14ac:dyDescent="0.2">
      <c r="A22" s="117"/>
      <c r="B22" s="117"/>
      <c r="C22" s="117"/>
      <c r="D22" s="117"/>
      <c r="E22" s="118"/>
      <c r="F22" s="117"/>
      <c r="G22" s="117"/>
      <c r="H22" s="117"/>
    </row>
  </sheetData>
  <mergeCells count="3">
    <mergeCell ref="B14:B15"/>
    <mergeCell ref="D8:F8"/>
    <mergeCell ref="A6:F6"/>
  </mergeCells>
  <pageMargins left="0.90551181102362199" right="0.51181102362204722" top="0.74803149606299213" bottom="0.74803149606299213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workbookViewId="0">
      <selection activeCell="H10" sqref="H10"/>
    </sheetView>
  </sheetViews>
  <sheetFormatPr defaultRowHeight="19.5" customHeight="1" x14ac:dyDescent="0.2"/>
  <cols>
    <col min="1" max="1" width="24.5703125" style="1" customWidth="1"/>
    <col min="2" max="2" width="18.5703125" style="1" customWidth="1"/>
    <col min="3" max="16384" width="9.140625" style="1"/>
  </cols>
  <sheetData>
    <row r="1" spans="1:2" ht="19.5" customHeight="1" thickBot="1" x14ac:dyDescent="0.25">
      <c r="A1" s="295" t="s">
        <v>208</v>
      </c>
      <c r="B1" s="296"/>
    </row>
    <row r="2" spans="1:2" s="90" customFormat="1" ht="19.5" customHeight="1" x14ac:dyDescent="0.2">
      <c r="A2" s="223" t="s">
        <v>189</v>
      </c>
      <c r="B2" s="224" t="s">
        <v>84</v>
      </c>
    </row>
    <row r="3" spans="1:2" ht="19.5" customHeight="1" x14ac:dyDescent="0.2">
      <c r="A3" s="134">
        <v>1</v>
      </c>
      <c r="B3" s="133">
        <v>33.629999999999995</v>
      </c>
    </row>
    <row r="4" spans="1:2" ht="19.5" customHeight="1" x14ac:dyDescent="0.2">
      <c r="A4" s="134">
        <v>2</v>
      </c>
      <c r="B4" s="133">
        <v>43.13</v>
      </c>
    </row>
    <row r="5" spans="1:2" ht="19.5" customHeight="1" x14ac:dyDescent="0.2">
      <c r="A5" s="134">
        <v>3</v>
      </c>
      <c r="B5" s="133">
        <v>48.68</v>
      </c>
    </row>
    <row r="6" spans="1:2" ht="19.5" customHeight="1" x14ac:dyDescent="0.2">
      <c r="A6" s="134">
        <v>4</v>
      </c>
      <c r="B6" s="133">
        <v>52.62</v>
      </c>
    </row>
    <row r="7" spans="1:2" ht="19.5" customHeight="1" x14ac:dyDescent="0.2">
      <c r="A7" s="134">
        <v>5</v>
      </c>
      <c r="B7" s="133">
        <v>55.679999999999993</v>
      </c>
    </row>
    <row r="8" spans="1:2" ht="19.5" customHeight="1" x14ac:dyDescent="0.2">
      <c r="A8" s="134">
        <v>6</v>
      </c>
      <c r="B8" s="133">
        <v>58.18</v>
      </c>
    </row>
    <row r="9" spans="1:2" ht="19.5" customHeight="1" x14ac:dyDescent="0.2">
      <c r="A9" s="134">
        <v>7</v>
      </c>
      <c r="B9" s="133">
        <v>60.29</v>
      </c>
    </row>
    <row r="10" spans="1:2" ht="19.5" customHeight="1" x14ac:dyDescent="0.2">
      <c r="A10" s="134">
        <v>8</v>
      </c>
      <c r="B10" s="133">
        <v>62.12</v>
      </c>
    </row>
    <row r="11" spans="1:2" ht="19.5" customHeight="1" x14ac:dyDescent="0.2">
      <c r="A11" s="134">
        <v>9</v>
      </c>
      <c r="B11" s="133">
        <v>63.73</v>
      </c>
    </row>
    <row r="12" spans="1:2" ht="19.5" customHeight="1" x14ac:dyDescent="0.2">
      <c r="A12" s="134">
        <v>10</v>
      </c>
      <c r="B12" s="133">
        <v>65.180000000000007</v>
      </c>
    </row>
    <row r="13" spans="1:2" ht="19.5" customHeight="1" x14ac:dyDescent="0.2">
      <c r="A13" s="134">
        <v>11</v>
      </c>
      <c r="B13" s="133">
        <v>66.47999999999999</v>
      </c>
    </row>
    <row r="14" spans="1:2" ht="19.5" customHeight="1" x14ac:dyDescent="0.2">
      <c r="A14" s="134">
        <v>12</v>
      </c>
      <c r="B14" s="133">
        <v>67.67</v>
      </c>
    </row>
    <row r="15" spans="1:2" ht="19.5" customHeight="1" x14ac:dyDescent="0.2">
      <c r="A15" s="134">
        <v>13</v>
      </c>
      <c r="B15" s="133">
        <v>68.77</v>
      </c>
    </row>
    <row r="16" spans="1:2" ht="19.5" customHeight="1" x14ac:dyDescent="0.2">
      <c r="A16" s="134">
        <v>14</v>
      </c>
      <c r="B16" s="133">
        <v>69.789999999999992</v>
      </c>
    </row>
    <row r="17" spans="1:2" ht="19.5" customHeight="1" thickBot="1" x14ac:dyDescent="0.25">
      <c r="A17" s="135">
        <v>15</v>
      </c>
      <c r="B17" s="136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7"/>
  <sheetViews>
    <sheetView workbookViewId="0">
      <selection activeCell="A24" sqref="A24"/>
    </sheetView>
  </sheetViews>
  <sheetFormatPr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212" t="s">
        <v>212</v>
      </c>
    </row>
    <row r="2" spans="1:1" x14ac:dyDescent="0.2">
      <c r="A2" s="209"/>
    </row>
    <row r="3" spans="1:1" x14ac:dyDescent="0.2">
      <c r="A3" s="209" t="s">
        <v>227</v>
      </c>
    </row>
    <row r="4" spans="1:1" x14ac:dyDescent="0.2">
      <c r="A4" s="209"/>
    </row>
    <row r="5" spans="1:1" x14ac:dyDescent="0.2">
      <c r="A5" s="209"/>
    </row>
    <row r="6" spans="1:1" x14ac:dyDescent="0.2">
      <c r="A6" s="209"/>
    </row>
    <row r="7" spans="1:1" x14ac:dyDescent="0.2">
      <c r="A7" s="209"/>
    </row>
    <row r="8" spans="1:1" x14ac:dyDescent="0.2">
      <c r="A8" s="209"/>
    </row>
    <row r="9" spans="1:1" x14ac:dyDescent="0.2">
      <c r="A9" s="209"/>
    </row>
    <row r="10" spans="1:1" x14ac:dyDescent="0.2">
      <c r="A10" s="209"/>
    </row>
    <row r="11" spans="1:1" x14ac:dyDescent="0.2">
      <c r="A11" s="209"/>
    </row>
    <row r="12" spans="1:1" ht="19.5" x14ac:dyDescent="0.35">
      <c r="A12" s="210" t="s">
        <v>209</v>
      </c>
    </row>
    <row r="13" spans="1:1" ht="15" x14ac:dyDescent="0.2">
      <c r="A13" s="210" t="s">
        <v>89</v>
      </c>
    </row>
    <row r="14" spans="1:1" ht="15" x14ac:dyDescent="0.2">
      <c r="A14" s="210" t="s">
        <v>93</v>
      </c>
    </row>
    <row r="15" spans="1:1" ht="19.5" x14ac:dyDescent="0.35">
      <c r="A15" s="210" t="s">
        <v>210</v>
      </c>
    </row>
    <row r="16" spans="1:1" ht="19.5" x14ac:dyDescent="0.35">
      <c r="A16" s="210" t="s">
        <v>211</v>
      </c>
    </row>
    <row r="17" spans="1:1" ht="15.75" thickBot="1" x14ac:dyDescent="0.25">
      <c r="A17" s="211" t="s">
        <v>90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1. Transporte de RSU</vt:lpstr>
      <vt:lpstr>2.Encargos Sociais</vt:lpstr>
      <vt:lpstr>3.CAGED</vt:lpstr>
      <vt:lpstr>4.BDI</vt:lpstr>
      <vt:lpstr>5. Depreciação</vt:lpstr>
      <vt:lpstr>6.Remuneração de capital</vt:lpstr>
      <vt:lpstr>AbaDeprec</vt:lpstr>
      <vt:lpstr>AbaRemun</vt:lpstr>
      <vt:lpstr>'2.Encargos Sociais'!Area_de_impressao</vt:lpstr>
      <vt:lpstr>'1. Transporte de RSU'!Titulos_de_impressao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lastPrinted>2020-06-30T13:07:35Z</cp:lastPrinted>
  <dcterms:created xsi:type="dcterms:W3CDTF">2000-12-13T10:02:50Z</dcterms:created>
  <dcterms:modified xsi:type="dcterms:W3CDTF">2020-06-30T13:09:32Z</dcterms:modified>
</cp:coreProperties>
</file>