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21C692E2-8481-4191-8D7E-DCE01CDA6334}" xr6:coauthVersionLast="45" xr6:coauthVersionMax="45" xr10:uidLastSave="{00000000-0000-0000-0000-000000000000}"/>
  <bookViews>
    <workbookView xWindow="-120" yWindow="-120" windowWidth="29040" windowHeight="15840" tabRatio="802" xr2:uid="{00000000-000D-0000-FFFF-FFFF00000000}"/>
  </bookViews>
  <sheets>
    <sheet name="1. Transporte de RSU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</sheets>
  <definedNames>
    <definedName name="AbaDeprec">'5. Depreciação'!$A$1</definedName>
    <definedName name="AbaRemun">'6.Remuneração de capital'!$A$1</definedName>
    <definedName name="_xlnm.Print_Area" localSheetId="1">'2.Encargos Sociais'!$A$1:$C$36</definedName>
    <definedName name="_xlnm.Print_Titles" localSheetId="0">'1. Transporte de RSU'!$1:$18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3" i="2" l="1"/>
  <c r="C109" i="2" l="1"/>
  <c r="E106" i="2"/>
  <c r="D199" i="2" l="1"/>
  <c r="C115" i="2"/>
  <c r="C185" i="2" l="1"/>
  <c r="D213" i="2" l="1"/>
  <c r="E213" i="2" s="1"/>
  <c r="A50" i="2" l="1"/>
  <c r="A49" i="2"/>
  <c r="E131" i="2" l="1"/>
  <c r="D221" i="2" l="1"/>
  <c r="D219" i="2"/>
  <c r="D217" i="2"/>
  <c r="E217" i="2" s="1"/>
  <c r="D215" i="2"/>
  <c r="E141" i="2"/>
  <c r="E246" i="2"/>
  <c r="D211" i="2"/>
  <c r="E211" i="2" s="1"/>
  <c r="C215" i="2"/>
  <c r="E215" i="2" l="1"/>
  <c r="C221" i="2"/>
  <c r="E221" i="2" s="1"/>
  <c r="E42" i="2"/>
  <c r="D65" i="2" l="1"/>
  <c r="E65" i="2" s="1"/>
  <c r="D66" i="2"/>
  <c r="E66" i="2" s="1"/>
  <c r="D94" i="2" l="1"/>
  <c r="E94" i="2" s="1"/>
  <c r="D93" i="2"/>
  <c r="E93" i="2" s="1"/>
  <c r="D95" i="2" l="1"/>
  <c r="E95" i="2" s="1"/>
  <c r="C170" i="2"/>
  <c r="C175" i="2"/>
  <c r="C194" i="2" l="1"/>
  <c r="C189" i="2"/>
  <c r="D148" i="2" l="1"/>
  <c r="E148" i="2" s="1"/>
  <c r="E132" i="2"/>
  <c r="E133" i="2"/>
  <c r="E134" i="2"/>
  <c r="E135" i="2"/>
  <c r="E136" i="2"/>
  <c r="E137" i="2"/>
  <c r="E138" i="2"/>
  <c r="E139" i="2"/>
  <c r="E140" i="2"/>
  <c r="D142" i="2" l="1"/>
  <c r="E142" i="2" s="1"/>
  <c r="F143" i="2" s="1"/>
  <c r="D79" i="2"/>
  <c r="E79" i="2" s="1"/>
  <c r="D67" i="2" l="1"/>
  <c r="E67" i="2" s="1"/>
  <c r="D80" i="2"/>
  <c r="E80" i="2" s="1"/>
  <c r="D81" i="2" s="1"/>
  <c r="E81" i="2" s="1"/>
  <c r="C236" i="2" l="1"/>
  <c r="A39" i="2"/>
  <c r="A38" i="2"/>
  <c r="A37" i="2"/>
  <c r="A36" i="2"/>
  <c r="A35" i="2"/>
  <c r="A34" i="2"/>
  <c r="A33" i="2"/>
  <c r="A30" i="2"/>
  <c r="A29" i="2"/>
  <c r="A28" i="2"/>
  <c r="A27" i="2"/>
  <c r="A26" i="2"/>
  <c r="A25" i="2"/>
  <c r="C17" i="8"/>
  <c r="E122" i="2"/>
  <c r="C13" i="4"/>
  <c r="C18" i="4" s="1"/>
  <c r="F11" i="4"/>
  <c r="E11" i="4"/>
  <c r="D11" i="4"/>
  <c r="C14" i="8"/>
  <c r="C34" i="5"/>
  <c r="C29" i="5"/>
  <c r="C28" i="8" s="1"/>
  <c r="C28" i="5"/>
  <c r="E77" i="2"/>
  <c r="E234" i="2"/>
  <c r="D222" i="2"/>
  <c r="E167" i="2"/>
  <c r="C171" i="2"/>
  <c r="C256" i="2"/>
  <c r="E256" i="2" s="1"/>
  <c r="D257" i="2" s="1"/>
  <c r="E257" i="2" s="1"/>
  <c r="C172" i="2"/>
  <c r="C188" i="2" s="1"/>
  <c r="A24" i="2"/>
  <c r="A31" i="2"/>
  <c r="A32" i="2"/>
  <c r="A40" i="2"/>
  <c r="A41" i="2"/>
  <c r="A43" i="2"/>
  <c r="E64" i="2"/>
  <c r="A121" i="2"/>
  <c r="D149" i="2"/>
  <c r="E149" i="2" s="1"/>
  <c r="D150" i="2"/>
  <c r="E150" i="2" s="1"/>
  <c r="D151" i="2"/>
  <c r="E151" i="2" s="1"/>
  <c r="D152" i="2"/>
  <c r="E152" i="2" s="1"/>
  <c r="E154" i="2"/>
  <c r="E232" i="2"/>
  <c r="E201" i="2"/>
  <c r="E200" i="2"/>
  <c r="E245" i="2"/>
  <c r="D156" i="2" l="1"/>
  <c r="D235" i="2"/>
  <c r="E235" i="2" s="1"/>
  <c r="D236" i="2" s="1"/>
  <c r="E236" i="2" s="1"/>
  <c r="F237" i="2" s="1"/>
  <c r="E39" i="2" s="1"/>
  <c r="D170" i="2"/>
  <c r="E170" i="2" s="1"/>
  <c r="F247" i="2"/>
  <c r="F249" i="2" s="1"/>
  <c r="E40" i="2" s="1"/>
  <c r="D83" i="2"/>
  <c r="E83" i="2" s="1"/>
  <c r="E84" i="2" s="1"/>
  <c r="C27" i="8"/>
  <c r="G28" i="5"/>
  <c r="C39" i="5"/>
  <c r="E37" i="5"/>
  <c r="D37" i="5" s="1"/>
  <c r="D38" i="5" s="1"/>
  <c r="C38" i="5" s="1"/>
  <c r="C24" i="8" s="1"/>
  <c r="C32" i="8" s="1"/>
  <c r="E92" i="2"/>
  <c r="C219" i="2"/>
  <c r="E219" i="2" s="1"/>
  <c r="F223" i="2" s="1"/>
  <c r="E115" i="2"/>
  <c r="E172" i="2"/>
  <c r="E114" i="2"/>
  <c r="E52" i="2"/>
  <c r="E120" i="2"/>
  <c r="E108" i="2"/>
  <c r="E188" i="2"/>
  <c r="E121" i="2"/>
  <c r="D68" i="2"/>
  <c r="E68" i="2" s="1"/>
  <c r="E69" i="2" s="1"/>
  <c r="D70" i="2" s="1"/>
  <c r="C227" i="2"/>
  <c r="E227" i="2" s="1"/>
  <c r="F228" i="2" s="1"/>
  <c r="E38" i="2" s="1"/>
  <c r="E254" i="2"/>
  <c r="E255" i="2" s="1"/>
  <c r="F258" i="2" s="1"/>
  <c r="F260" i="2" s="1"/>
  <c r="E41" i="2" s="1"/>
  <c r="E183" i="2"/>
  <c r="E199" i="2"/>
  <c r="D202" i="2" s="1"/>
  <c r="E202" i="2" s="1"/>
  <c r="F203" i="2" s="1"/>
  <c r="E36" i="2" s="1"/>
  <c r="E109" i="2"/>
  <c r="E98" i="2" l="1"/>
  <c r="D97" i="2"/>
  <c r="E97" i="2" s="1"/>
  <c r="D171" i="2"/>
  <c r="E171" i="2" s="1"/>
  <c r="C186" i="2"/>
  <c r="D187" i="2" s="1"/>
  <c r="E187" i="2" s="1"/>
  <c r="C26" i="8"/>
  <c r="C25" i="8"/>
  <c r="K35" i="5"/>
  <c r="K36" i="5" s="1"/>
  <c r="K37" i="5" s="1"/>
  <c r="K38" i="5" s="1"/>
  <c r="K39" i="5" s="1"/>
  <c r="K40" i="5" s="1"/>
  <c r="K41" i="5" s="1"/>
  <c r="C16" i="8"/>
  <c r="C22" i="8" s="1"/>
  <c r="C31" i="8" s="1"/>
  <c r="C33" i="8" s="1"/>
  <c r="F37" i="5"/>
  <c r="G37" i="5" s="1"/>
  <c r="C37" i="5"/>
  <c r="F116" i="2"/>
  <c r="E29" i="2" s="1"/>
  <c r="F122" i="2"/>
  <c r="E156" i="2"/>
  <c r="F157" i="2" s="1"/>
  <c r="E175" i="2"/>
  <c r="D176" i="2" s="1"/>
  <c r="E176" i="2" s="1"/>
  <c r="F110" i="2"/>
  <c r="E28" i="2" s="1"/>
  <c r="E37" i="2"/>
  <c r="D85" i="2"/>
  <c r="E177" i="2" l="1"/>
  <c r="D178" i="2" s="1"/>
  <c r="E178" i="2" s="1"/>
  <c r="F179" i="2" s="1"/>
  <c r="E34" i="2" s="1"/>
  <c r="C191" i="2"/>
  <c r="D192" i="2" s="1"/>
  <c r="E192" i="2" s="1"/>
  <c r="E193" i="2" s="1"/>
  <c r="D194" i="2" s="1"/>
  <c r="E194" i="2" s="1"/>
  <c r="F195" i="2" s="1"/>
  <c r="E30" i="2"/>
  <c r="C29" i="8"/>
  <c r="C34" i="8" s="1"/>
  <c r="G38" i="5"/>
  <c r="G32" i="5"/>
  <c r="F159" i="2"/>
  <c r="E31" i="2" s="1"/>
  <c r="D99" i="2"/>
  <c r="E70" i="2" l="1"/>
  <c r="E71" i="2" s="1"/>
  <c r="D72" i="2" s="1"/>
  <c r="E72" i="2" s="1"/>
  <c r="F73" i="2" s="1"/>
  <c r="E25" i="2" s="1"/>
  <c r="E35" i="2"/>
  <c r="E33" i="2" s="1"/>
  <c r="F240" i="2"/>
  <c r="E32" i="2" s="1"/>
  <c r="E99" i="2" l="1"/>
  <c r="E100" i="2" s="1"/>
  <c r="D101" i="2" s="1"/>
  <c r="E101" i="2" s="1"/>
  <c r="F102" i="2" s="1"/>
  <c r="E85" i="2"/>
  <c r="E86" i="2" s="1"/>
  <c r="D87" i="2" l="1"/>
  <c r="E87" i="2" s="1"/>
  <c r="F88" i="2" s="1"/>
  <c r="E27" i="2"/>
  <c r="E26" i="2" l="1"/>
  <c r="F124" i="2"/>
  <c r="E24" i="2" s="1"/>
  <c r="F262" i="2" l="1"/>
  <c r="F269" i="2"/>
  <c r="D274" i="2" s="1"/>
  <c r="E274" i="2" s="1"/>
  <c r="F275" i="2" s="1"/>
  <c r="F277" i="2" s="1"/>
  <c r="E43" i="2" l="1"/>
  <c r="E44" i="2" s="1"/>
  <c r="F43" i="2" s="1"/>
  <c r="F280" i="2"/>
  <c r="B284" i="2" s="1"/>
  <c r="F26" i="2" l="1"/>
  <c r="F27" i="2"/>
  <c r="F40" i="2"/>
  <c r="F30" i="2"/>
  <c r="F36" i="2"/>
  <c r="F33" i="2"/>
  <c r="F29" i="2"/>
  <c r="F38" i="2"/>
  <c r="F31" i="2"/>
  <c r="F37" i="2"/>
  <c r="F35" i="2"/>
  <c r="F32" i="2"/>
  <c r="F41" i="2"/>
  <c r="F42" i="2"/>
  <c r="F28" i="2"/>
  <c r="F34" i="2"/>
  <c r="F39" i="2"/>
  <c r="F25" i="2"/>
  <c r="F24" i="2"/>
  <c r="F4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22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4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65" authorId="0" shapeId="0" xr:uid="{00000000-0006-0000-0000-000004000000}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6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67" authorId="0" shapeId="0" xr:uid="{00000000-0006-0000-0000-000006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0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72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7" authorId="0" shapeId="0" xr:uid="{00000000-0006-0000-0000-000009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78" authorId="0" shapeId="0" xr:uid="{00000000-0006-0000-0000-00000A000000}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79" authorId="0" shapeId="0" xr:uid="{00000000-0006-0000-0000-00000B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80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81" authorId="0" shapeId="0" xr:uid="{00000000-0006-0000-0000-00000D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2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83" authorId="0" shapeId="0" xr:uid="{00000000-0006-0000-0000-00000F000000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87" authorId="0" shapeId="0" xr:uid="{00000000-0006-0000-0000-000010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93" authorId="0" shapeId="0" xr:uid="{00000000-0006-0000-0000-000011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94" authorId="0" shapeId="0" xr:uid="{00000000-0006-0000-0000-000012000000}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A95" authorId="0" shapeId="0" xr:uid="{514A730C-4B62-48A0-AEA5-A0B377069D97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6" authorId="0" shapeId="0" xr:uid="{FD6AC5B6-21D5-452D-BFD5-D9112C5529B4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97" authorId="0" shapeId="0" xr:uid="{8461F6A4-BA2D-45C0-B880-4550AC228D61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101" authorId="0" shapeId="0" xr:uid="{00000000-0006-0000-0000-000013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06" authorId="0" shapeId="0" xr:uid="{00000000-0006-0000-0000-000014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107" authorId="0" shapeId="0" xr:uid="{00000000-0006-0000-0000-000015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108" authorId="0" shapeId="0" xr:uid="{00000000-0006-0000-0000-000016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109" authorId="0" shapeId="0" xr:uid="{00000000-0006-0000-0000-000017000000}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114" authorId="0" shapeId="0" xr:uid="{00000000-0006-0000-0000-000018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15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20" authorId="0" shapeId="0" xr:uid="{00000000-0006-0000-0000-00001A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D121" authorId="0" shapeId="0" xr:uid="{00000000-0006-0000-0000-00001B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C131" authorId="0" shapeId="0" xr:uid="{00000000-0006-0000-0000-00001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1" authorId="0" shapeId="0" xr:uid="{00000000-0006-0000-0000-00001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2" authorId="0" shapeId="0" xr:uid="{00000000-0006-0000-0000-00001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2" authorId="0" shapeId="0" xr:uid="{00000000-0006-0000-0000-00001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3" authorId="0" shapeId="0" xr:uid="{00000000-0006-0000-0000-00002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3" authorId="0" shapeId="0" xr:uid="{00000000-0006-0000-0000-000021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4" authorId="0" shapeId="0" xr:uid="{00000000-0006-0000-0000-00002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4" authorId="0" shapeId="0" xr:uid="{00000000-0006-0000-0000-000023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5" authorId="0" shapeId="0" xr:uid="{00000000-0006-0000-0000-00002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5" authorId="0" shapeId="0" xr:uid="{00000000-0006-0000-0000-000025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6" authorId="0" shapeId="0" xr:uid="{00000000-0006-0000-0000-000026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6" authorId="0" shapeId="0" xr:uid="{00000000-0006-0000-0000-000027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7" authorId="0" shapeId="0" xr:uid="{00000000-0006-0000-0000-000028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7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8" authorId="0" shapeId="0" xr:uid="{00000000-0006-0000-0000-00002A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8" authorId="0" shapeId="0" xr:uid="{00000000-0006-0000-0000-00002B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9" authorId="0" shapeId="0" xr:uid="{00000000-0006-0000-0000-00002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9" authorId="0" shapeId="0" xr:uid="{00000000-0006-0000-0000-00002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0" authorId="0" shapeId="0" xr:uid="{00000000-0006-0000-0000-00002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0" authorId="0" shapeId="0" xr:uid="{00000000-0006-0000-0000-00002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8" authorId="0" shapeId="0" xr:uid="{00000000-0006-0000-0000-00003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49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0" authorId="0" shapeId="0" xr:uid="{00000000-0006-0000-0000-00003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1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2" authorId="0" shapeId="0" xr:uid="{00000000-0006-0000-0000-00003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3" authorId="0" shapeId="0" xr:uid="{F2C68920-11A6-4059-AC29-7C49ECB81F99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3" authorId="0" shapeId="0" xr:uid="{AEA3EFFC-5173-4AC7-B202-64861171EB46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4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67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68" authorId="0" shapeId="0" xr:uid="{00000000-0006-0000-0000-000037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69" authorId="0" shapeId="0" xr:uid="{00000000-0006-0000-0000-000038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70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72" authorId="0" shapeId="0" xr:uid="{00000000-0006-0000-0000-00003A000000}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73" authorId="0" shapeId="0" xr:uid="{00000000-0006-0000-0000-00003B000000}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C174" authorId="0" shapeId="0" xr:uid="{00000000-0006-0000-0000-00003C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75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8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84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00" authorId="0" shapeId="0" xr:uid="{00000000-0006-0000-0000-000040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201" authorId="0" shapeId="0" xr:uid="{00000000-0006-0000-0000-000041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B207" authorId="0" shapeId="0" xr:uid="{00000000-0006-0000-0000-000042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10" authorId="0" shapeId="0" xr:uid="{00000000-0006-0000-0000-000043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10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12" authorId="0" shapeId="0" xr:uid="{194EAE8A-94DB-43FA-87C8-D65683E6BD8F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12" authorId="0" shapeId="0" xr:uid="{429ED29F-8377-489B-B08E-9FB0150BBF53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14" authorId="0" shapeId="0" xr:uid="{00000000-0006-0000-0000-000045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14" authorId="0" shapeId="0" xr:uid="{00000000-0006-0000-0000-000046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16" authorId="0" shapeId="0" xr:uid="{08481E41-7BAE-476D-AE1D-C1AFD195290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6" authorId="0" shapeId="0" xr:uid="{91D1241D-AC01-449F-8760-F21382DBBA46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18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8" authorId="0" shapeId="0" xr:uid="{00000000-0006-0000-0000-000048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20" authorId="0" shapeId="0" xr:uid="{BD85DAB3-00F1-484D-8065-9846FFC52F9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20" authorId="0" shapeId="0" xr:uid="{03062519-ABB5-42E7-9C83-75310278B7ED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227" authorId="0" shapeId="0" xr:uid="{00000000-0006-0000-0000-000049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232" authorId="0" shapeId="0" xr:uid="{00000000-0006-0000-0000-00004A000000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232" authorId="0" shapeId="0" xr:uid="{00000000-0006-0000-0000-00004B000000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233" authorId="0" shapeId="0" xr:uid="{00000000-0006-0000-0000-00004C000000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234" authorId="0" shapeId="0" xr:uid="{00000000-0006-0000-0000-00004D000000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235" authorId="0" shapeId="0" xr:uid="{00000000-0006-0000-0000-00004E000000}">
      <text>
        <r>
          <rPr>
            <sz val="9"/>
            <color indexed="81"/>
            <rFont val="Tahoma"/>
            <family val="2"/>
          </rPr>
          <t xml:space="preserve">Informar a durabilidade média dos pneus considerando as recapagens, em km
</t>
        </r>
      </text>
    </comment>
    <comment ref="C245" authorId="0" shapeId="0" xr:uid="{00000000-0006-0000-0000-00004F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45" authorId="0" shapeId="0" xr:uid="{00000000-0006-0000-0000-000050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46" authorId="0" shapeId="0" xr:uid="{0776D56A-33A5-4588-AAB0-D70AC3ECEE8A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46" authorId="0" shapeId="0" xr:uid="{67B0873C-0F25-4D89-8640-3EF7EA939A4B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51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54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D256" authorId="0" shapeId="0" xr:uid="{00000000-0006-0000-0000-00005B000000}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274" authorId="0" shapeId="0" xr:uid="{00000000-0006-0000-0000-00005C000000}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Mesquita</author>
  </authors>
  <commentList>
    <comment ref="G3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Mesquita:</t>
        </r>
        <r>
          <rPr>
            <sz val="9"/>
            <color indexed="81"/>
            <rFont val="Tahoma"/>
            <family val="2"/>
          </rPr>
          <t xml:space="preserve">
Criar um tipo de arredondamento.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C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Informar o valor anual da taxa SELIC</t>
        </r>
      </text>
    </comment>
    <comment ref="C1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<sst xmlns="http://schemas.openxmlformats.org/spreadsheetml/2006/main" count="516" uniqueCount="286">
  <si>
    <t>hora</t>
  </si>
  <si>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</si>
  <si>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</si>
  <si>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</si>
  <si>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</si>
  <si>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</si>
  <si>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</si>
  <si>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</si>
  <si>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</si>
  <si>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</si>
  <si>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</si>
  <si>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</si>
  <si>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</si>
  <si>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</si>
  <si>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</si>
  <si>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</si>
  <si>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</si>
  <si>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</si>
  <si>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</si>
  <si>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</si>
  <si>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hidráulico</t>
  </si>
  <si>
    <t>km/jogo</t>
  </si>
  <si>
    <t>Calça</t>
  </si>
  <si>
    <t>Camiseta</t>
  </si>
  <si>
    <t>Boné</t>
  </si>
  <si>
    <t>Luva de proteção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</si>
  <si>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</si>
  <si>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</si>
  <si>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</si>
  <si>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</si>
  <si>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</si>
  <si>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</si>
  <si>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</si>
  <si>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</si>
  <si>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</si>
  <si>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</si>
  <si>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</si>
  <si>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2. Uniformes e Equipamentos de Proteção Individual</t>
  </si>
  <si>
    <t>3.1.1. Depreciação</t>
  </si>
  <si>
    <t>1. Mão-de-obra</t>
  </si>
  <si>
    <t>par</t>
  </si>
  <si>
    <t>frasco 120g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</si>
  <si>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</si>
  <si>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</si>
  <si>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</si>
  <si>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</si>
  <si>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</si>
  <si>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</si>
  <si>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cj</t>
  </si>
  <si>
    <t>Total de mão-de-obra (postos de trabalho)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</si>
  <si>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</si>
  <si>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</si>
  <si>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</si>
  <si>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</si>
  <si>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</si>
  <si>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</si>
  <si>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</si>
  <si>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</si>
  <si>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</si>
  <si>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Custo de recapagem</t>
  </si>
  <si>
    <t>Recipiente térmico para água (5L)</t>
  </si>
  <si>
    <t>Total por 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</si>
  <si>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</si>
  <si>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</si>
  <si>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</si>
  <si>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</si>
  <si>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</si>
  <si>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</si>
  <si>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</si>
  <si>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</si>
  <si>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</si>
  <si>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</si>
  <si>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</si>
  <si>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</si>
  <si>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</si>
  <si>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</si>
  <si>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</si>
  <si>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</si>
  <si>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Vale Transporte</t>
  </si>
  <si>
    <t>Dias Trabalhados por mês</t>
  </si>
  <si>
    <t>dia</t>
  </si>
  <si>
    <t>Custo Mensal com Mão-de-obra (R$/mês)</t>
  </si>
  <si>
    <t>Meia de algodão com cano alto</t>
  </si>
  <si>
    <t>Quantitativos</t>
  </si>
  <si>
    <t>Média</t>
  </si>
  <si>
    <t>Vida útil do chassis</t>
  </si>
  <si>
    <t>anos</t>
  </si>
  <si>
    <t>Depreciação do chassis</t>
  </si>
  <si>
    <t>i = taxa de juros do mercado (sugere-se adotar a taxa SELIC)</t>
  </si>
  <si>
    <t>n = vida útil do bem em anos</t>
  </si>
  <si>
    <t>Custo do chassis</t>
  </si>
  <si>
    <t>3.1.2. Remuneração do Capital</t>
  </si>
  <si>
    <t>Im = investimento médio</t>
  </si>
  <si>
    <t>Investimento médio total do chassis</t>
  </si>
  <si>
    <t>Remuneração mensal de capital do chassis</t>
  </si>
  <si>
    <t>Custo de manutenção dos caminhões</t>
  </si>
  <si>
    <t>Quilometragem mensal</t>
  </si>
  <si>
    <t>R$/km rodado</t>
  </si>
  <si>
    <t>Número de recapagens por pneu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</si>
  <si>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</si>
  <si>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</si>
  <si>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</si>
  <si>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</si>
  <si>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</si>
  <si>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</si>
  <si>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</si>
  <si>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</si>
  <si>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</si>
  <si>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</si>
  <si>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</si>
  <si>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</si>
  <si>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</si>
  <si>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</si>
  <si>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</si>
  <si>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Estoque Médio</t>
  </si>
  <si>
    <t>Multa FGTS</t>
  </si>
  <si>
    <t>Fração de tempo para gozo férias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</si>
  <si>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</si>
  <si>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</si>
  <si>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</si>
  <si>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</si>
  <si>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</si>
  <si>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</si>
  <si>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</si>
  <si>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</si>
  <si>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</si>
  <si>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</si>
  <si>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</si>
  <si>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</si>
  <si>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</si>
  <si>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</si>
  <si>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</si>
  <si>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</si>
  <si>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</si>
  <si>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</si>
  <si>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</si>
  <si>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</si>
  <si>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</si>
  <si>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</si>
  <si>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</si>
  <si>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</si>
  <si>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</si>
  <si>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</si>
  <si>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</si>
  <si>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</si>
  <si>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</si>
  <si>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</si>
  <si>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</si>
  <si>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</si>
  <si>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</si>
  <si>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</si>
  <si>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</si>
  <si>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</si>
  <si>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</si>
  <si>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</si>
  <si>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</si>
  <si>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</si>
  <si>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</si>
  <si>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</si>
  <si>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</si>
  <si>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</si>
  <si>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</si>
  <si>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</si>
  <si>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</si>
  <si>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</si>
  <si>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</si>
  <si>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</si>
  <si>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</si>
  <si>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1° Quartil</t>
  </si>
  <si>
    <t>Médio</t>
  </si>
  <si>
    <t>3° Quartil</t>
  </si>
  <si>
    <t>SELIC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</si>
  <si>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</si>
  <si>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</si>
  <si>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</si>
  <si>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</si>
  <si>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</si>
  <si>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</si>
  <si>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</si>
  <si>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</si>
  <si>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</si>
  <si>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</si>
  <si>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</si>
  <si>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</si>
  <si>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</si>
  <si>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</si>
  <si>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</si>
  <si>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</si>
  <si>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</si>
  <si>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</si>
  <si>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Valor do veículo proposto (V0)</t>
  </si>
  <si>
    <t>Taxa de juros anual nominal</t>
  </si>
  <si>
    <t>Piso da categoria</t>
  </si>
  <si>
    <t>Base de cálculo da Insalubridade</t>
  </si>
  <si>
    <t>Descanso Semanal Remunerado (DSR) - hora extra</t>
  </si>
  <si>
    <t>C2</t>
  </si>
  <si>
    <t>B3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</si>
  <si>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</si>
  <si>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</si>
  <si>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</si>
  <si>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</si>
  <si>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</si>
  <si>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</si>
  <si>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</si>
  <si>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</si>
  <si>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</si>
  <si>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</si>
  <si>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</si>
  <si>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</si>
  <si>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</si>
  <si>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</si>
  <si>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</si>
  <si>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</si>
  <si>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</si>
  <si>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</si>
  <si>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</si>
  <si>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</si>
  <si>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</si>
  <si>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</si>
  <si>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</si>
  <si>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</si>
  <si>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</si>
  <si>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</si>
  <si>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</si>
  <si>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</si>
  <si>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</si>
  <si>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</si>
  <si>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</si>
  <si>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</si>
  <si>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</si>
  <si>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</si>
  <si>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</si>
  <si>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</si>
  <si>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</si>
  <si>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Variação Emprego Absoluta de 01-09-2016 a 31-08-2017</t>
  </si>
  <si>
    <t>Botina de segurança</t>
  </si>
  <si>
    <r>
      <t>Custo jg. compl. + 2</t>
    </r>
    <r>
      <rPr>
        <sz val="10"/>
        <rFont val="Arial"/>
        <family val="2"/>
      </rPr>
      <t xml:space="preserve"> recap./ km rodado</t>
    </r>
  </si>
  <si>
    <t>Estoque recuperado final do Período 31-03-2018</t>
  </si>
  <si>
    <t>Estoque recuperado início do Período 01-03-2017</t>
  </si>
  <si>
    <t>Coletor</t>
  </si>
  <si>
    <t>1.4. Vale Transporte</t>
  </si>
  <si>
    <t>1.5. Vale-refeição (diário)</t>
  </si>
  <si>
    <t>1.6. Auxílio Alimentação (mensal)</t>
  </si>
  <si>
    <t>Observações:</t>
  </si>
  <si>
    <t xml:space="preserve">Esta planilha é somente um modelo-base. </t>
  </si>
  <si>
    <t>Salário mínimo nacional</t>
  </si>
  <si>
    <t>*Piso da Categoria (2)</t>
  </si>
  <si>
    <r>
      <rPr>
        <b/>
        <sz val="10"/>
        <rFont val="Arial"/>
        <family val="2"/>
      </rPr>
      <t xml:space="preserve">Fontes consultadas: </t>
    </r>
    <r>
      <rPr>
        <sz val="10"/>
        <rFont val="Arial"/>
        <family val="2"/>
      </rPr>
      <t xml:space="preserve">
Orientação técnica para os serviços de coleta de resíduos sólidos domiciliares (Projeto, Contratação e Fiscalização) 1ª Edição 2017 – Tribunal de Contas do Estado do Rio Grande do Sul – TCE; Planilha de Composição de Custos para serviços de coleta de resíduos sólidos domiciliares - Tribunal de Contas do Estado do Rio Grande do Sul – TCE; Planilha para dimensionamento de frota - FUNASA; Convenção Coletiva de Trabalho 2018/2018 – Sindicato das Empresas de Asseio e Conservação do Estado do Rio Grande do Sul e Sindicato dos Trabalhadores das Empresas de Asseio, Conservação, Zeladoria, Reciclagem de Lixo, Limpeza Urbana, Ambiental e de Áreas Verdes e empresas de Serviços Terceirizados; Convenção Coletiva 2017-2019-Passo Fundo/RS - Sindicato das Empresas de Transportes de Carga e Logística no Estado do Rio Grande do Sul - SETCERGS; Acordo Coletivo de Trabalho 2017-2018 - Sindicatos do Engenheiros do Rio Grande do Sul – CREA/RS; IBGE; Banco Central do Brasil; CAGED; CEEE; Tabela FIPE; NR-6 Equipamentos de Proteção Individual; Google Mapas; Goolzoom; Atas de Registros Municipais referentes ao ano de 2018; Pedidos municipais referentes ao ano de 2018; Relatórios de pesagens de resíduos do Aterro Sanitário com contrato vigente, referentes aos anos de 2016, 2017 e 2018; e Orçamentos em mercado local, sites e empresas especializadas nas diversas áreas que compõem os serviços a serem contratados.
</t>
    </r>
  </si>
  <si>
    <t>7. Benefícios e Despesas Indiretas - BDI</t>
  </si>
  <si>
    <t>6. Destinação Final</t>
  </si>
  <si>
    <t>Custo da graxa/1.000km rodados</t>
  </si>
  <si>
    <t>Custo mensal com graxa</t>
  </si>
  <si>
    <t xml:space="preserve">Higienização de uniformes </t>
  </si>
  <si>
    <t>R$ mensal</t>
  </si>
  <si>
    <t>Tenis de EVA para corrida</t>
  </si>
  <si>
    <t>Higienização de uniformes EPIs</t>
  </si>
  <si>
    <t xml:space="preserve"> Transporte dos Resíduos Sólidos Domiciliares Orgânico</t>
  </si>
  <si>
    <t>1.2  Operador primeiro e segundo turno</t>
  </si>
  <si>
    <t>3.1 Veiculo Carretas</t>
  </si>
  <si>
    <t>Auxilhar</t>
  </si>
  <si>
    <t>3.1 CARRETAS 55 M³</t>
  </si>
  <si>
    <t>Custo de aquisição do chassis cavalos</t>
  </si>
  <si>
    <t>6.</t>
  </si>
  <si>
    <t>Remuneração mensal de capital da casamba</t>
  </si>
  <si>
    <t>Custo do jogo de pneus 295/80 R22,5</t>
  </si>
  <si>
    <t>Publicidade (adesivo veiculos)</t>
  </si>
  <si>
    <t xml:space="preserve">Custo De caçamba </t>
  </si>
  <si>
    <t>Valor do caçamba</t>
  </si>
  <si>
    <t xml:space="preserve">caçamba </t>
  </si>
  <si>
    <t>Custo de aquisição da caçamba basculante</t>
  </si>
  <si>
    <t>Vida útil  da caçamba basculante</t>
  </si>
  <si>
    <t>Idade  da caçamba basculante</t>
  </si>
  <si>
    <t>1.1. Auxiliar de serviços gerais primeiro e segundo turno</t>
  </si>
  <si>
    <t>1.3  Motorista  carreta</t>
  </si>
  <si>
    <t xml:space="preserve">PREÇO POR TONELADA TRANSPORTADA  </t>
  </si>
  <si>
    <t>1.3 Motorista de carreta</t>
  </si>
  <si>
    <t>Motorista</t>
  </si>
  <si>
    <t>2.2. Uniformes e EPIs para Motorista</t>
  </si>
  <si>
    <t>Custo mensal com ARLA 32</t>
  </si>
  <si>
    <t>Custo de ARLA 32 / km rodado</t>
  </si>
  <si>
    <t>Custo de óleo da transmissão/ 1.000 km</t>
  </si>
  <si>
    <t>Custo mensal com óleo da transmissão</t>
  </si>
  <si>
    <t>Quantidade de toneladas transportadas previstas</t>
  </si>
  <si>
    <t>Depreciação mensal cavalo trator</t>
  </si>
  <si>
    <t>Depreciação mensal da caçamba basculante</t>
  </si>
  <si>
    <t>Depreciação da caçamba basculante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</si>
</sst>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9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4" xfId="3" applyFont="1" applyFill="1" applyBorder="1" applyAlignment="1">
      <alignment horizontal="center" vertical="center"/>
    </xf>
    <xf numFmtId="165" fontId="3" fillId="2" borderId="4" xfId="3" applyFont="1" applyFill="1" applyBorder="1" applyAlignment="1">
      <alignment vertical="center"/>
    </xf>
    <xf numFmtId="165" fontId="3" fillId="0" borderId="0" xfId="3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6" xfId="3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6" xfId="3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165" fontId="3" fillId="0" borderId="0" xfId="3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5" fillId="0" borderId="0" xfId="3" applyFont="1" applyAlignment="1">
      <alignment vertical="center"/>
    </xf>
    <xf numFmtId="166" fontId="6" fillId="0" borderId="1" xfId="3" applyNumberFormat="1" applyFont="1" applyBorder="1" applyAlignment="1">
      <alignment vertical="center"/>
    </xf>
    <xf numFmtId="165" fontId="6" fillId="0" borderId="0" xfId="3" applyFont="1"/>
    <xf numFmtId="165" fontId="0" fillId="0" borderId="9" xfId="3" applyFont="1" applyBorder="1" applyAlignment="1">
      <alignment vertical="center"/>
    </xf>
    <xf numFmtId="165" fontId="3" fillId="0" borderId="10" xfId="3" applyFont="1" applyBorder="1" applyAlignment="1">
      <alignment horizontal="center" vertical="center"/>
    </xf>
    <xf numFmtId="165" fontId="3" fillId="0" borderId="5" xfId="3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Continuous"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3" fillId="0" borderId="11" xfId="3" applyFont="1" applyBorder="1" applyAlignment="1">
      <alignment horizontal="right" vertical="center"/>
    </xf>
    <xf numFmtId="165" fontId="0" fillId="0" borderId="12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3" applyFont="1" applyAlignment="1">
      <alignment vertical="center"/>
    </xf>
    <xf numFmtId="10" fontId="0" fillId="0" borderId="13" xfId="2" applyNumberFormat="1" applyFont="1" applyBorder="1" applyAlignment="1">
      <alignment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165" fontId="13" fillId="2" borderId="15" xfId="3" applyFont="1" applyFill="1" applyBorder="1" applyAlignment="1">
      <alignment horizontal="center" vertical="center"/>
    </xf>
    <xf numFmtId="165" fontId="13" fillId="2" borderId="16" xfId="3" applyFont="1" applyFill="1" applyBorder="1" applyAlignment="1">
      <alignment horizontal="center" vertical="center"/>
    </xf>
    <xf numFmtId="165" fontId="3" fillId="0" borderId="17" xfId="3" applyFont="1" applyBorder="1" applyAlignment="1">
      <alignment horizontal="center" vertical="center"/>
    </xf>
    <xf numFmtId="165" fontId="1" fillId="0" borderId="12" xfId="3" applyBorder="1" applyAlignment="1">
      <alignment horizontal="left" vertical="center"/>
    </xf>
    <xf numFmtId="165" fontId="6" fillId="0" borderId="8" xfId="3" applyFont="1" applyBorder="1" applyAlignment="1">
      <alignment vertical="center"/>
    </xf>
    <xf numFmtId="165" fontId="6" fillId="0" borderId="12" xfId="3" applyFont="1" applyBorder="1" applyAlignment="1">
      <alignment vertical="center"/>
    </xf>
    <xf numFmtId="166" fontId="6" fillId="0" borderId="0" xfId="3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8" xfId="3" applyNumberFormat="1" applyFont="1" applyBorder="1" applyAlignment="1">
      <alignment horizontal="center" vertical="center"/>
    </xf>
    <xf numFmtId="165" fontId="3" fillId="0" borderId="26" xfId="3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165" fontId="6" fillId="0" borderId="17" xfId="3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0" fontId="0" fillId="0" borderId="9" xfId="0" applyBorder="1" applyAlignment="1">
      <alignment vertical="center"/>
    </xf>
    <xf numFmtId="1" fontId="6" fillId="0" borderId="1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7" xfId="0" applyBorder="1" applyAlignment="1">
      <alignment vertical="center"/>
    </xf>
    <xf numFmtId="1" fontId="3" fillId="0" borderId="29" xfId="3" applyNumberFormat="1" applyFont="1" applyBorder="1" applyAlignment="1">
      <alignment horizontal="center" vertical="center"/>
    </xf>
    <xf numFmtId="165" fontId="12" fillId="0" borderId="1" xfId="3" applyFont="1" applyBorder="1" applyAlignment="1">
      <alignment horizontal="center" vertical="center"/>
    </xf>
    <xf numFmtId="165" fontId="11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13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3" fontId="6" fillId="3" borderId="1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5" fontId="3" fillId="0" borderId="33" xfId="3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3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7" xfId="3" applyFont="1" applyFill="1" applyBorder="1" applyAlignment="1">
      <alignment horizontal="center" vertical="center"/>
    </xf>
    <xf numFmtId="165" fontId="3" fillId="0" borderId="12" xfId="3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0" fontId="3" fillId="0" borderId="13" xfId="2" applyNumberFormat="1" applyFont="1" applyBorder="1" applyAlignment="1">
      <alignment vertical="center"/>
    </xf>
    <xf numFmtId="165" fontId="3" fillId="0" borderId="36" xfId="3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9" xfId="3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" fontId="6" fillId="0" borderId="35" xfId="3" applyNumberFormat="1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Continuous" vertical="center"/>
    </xf>
    <xf numFmtId="4" fontId="6" fillId="0" borderId="0" xfId="0" applyNumberFormat="1" applyFont="1" applyAlignment="1">
      <alignment vertical="center"/>
    </xf>
    <xf numFmtId="165" fontId="6" fillId="6" borderId="1" xfId="3" applyFont="1" applyFill="1" applyBorder="1" applyAlignment="1">
      <alignment horizontal="center" vertical="center"/>
    </xf>
    <xf numFmtId="165" fontId="6" fillId="6" borderId="1" xfId="3" applyFont="1" applyFill="1" applyBorder="1" applyAlignment="1">
      <alignment vertical="center"/>
    </xf>
    <xf numFmtId="9" fontId="3" fillId="0" borderId="16" xfId="2" applyFont="1" applyBorder="1" applyAlignment="1">
      <alignment vertical="center"/>
    </xf>
    <xf numFmtId="10" fontId="6" fillId="0" borderId="13" xfId="2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36" xfId="0" applyBorder="1" applyAlignment="1">
      <alignment vertical="center"/>
    </xf>
    <xf numFmtId="165" fontId="0" fillId="0" borderId="37" xfId="3" applyFont="1" applyBorder="1" applyAlignment="1">
      <alignment vertical="center"/>
    </xf>
    <xf numFmtId="166" fontId="3" fillId="0" borderId="0" xfId="3" applyNumberFormat="1" applyFont="1" applyAlignment="1">
      <alignment horizontal="center" vertical="center"/>
    </xf>
    <xf numFmtId="0" fontId="18" fillId="0" borderId="12" xfId="0" applyFont="1" applyBorder="1"/>
    <xf numFmtId="0" fontId="18" fillId="0" borderId="45" xfId="0" applyFont="1" applyBorder="1"/>
    <xf numFmtId="0" fontId="18" fillId="3" borderId="18" xfId="0" applyFont="1" applyFill="1" applyBorder="1"/>
    <xf numFmtId="0" fontId="18" fillId="0" borderId="21" xfId="0" applyFont="1" applyBorder="1"/>
    <xf numFmtId="0" fontId="18" fillId="0" borderId="49" xfId="0" applyFont="1" applyBorder="1"/>
    <xf numFmtId="0" fontId="18" fillId="0" borderId="46" xfId="0" applyFont="1" applyBorder="1"/>
    <xf numFmtId="0" fontId="18" fillId="0" borderId="50" xfId="0" applyFont="1" applyBorder="1"/>
    <xf numFmtId="0" fontId="18" fillId="0" borderId="18" xfId="0" applyFont="1" applyBorder="1"/>
    <xf numFmtId="0" fontId="18" fillId="0" borderId="26" xfId="0" applyFont="1" applyBorder="1"/>
    <xf numFmtId="2" fontId="19" fillId="7" borderId="1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2" fontId="19" fillId="7" borderId="34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9" fillId="0" borderId="18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left" vertical="center"/>
    </xf>
    <xf numFmtId="10" fontId="23" fillId="0" borderId="18" xfId="0" applyNumberFormat="1" applyFont="1" applyBorder="1" applyAlignment="1">
      <alignment horizontal="right" vertical="center"/>
    </xf>
    <xf numFmtId="0" fontId="19" fillId="5" borderId="2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10" fontId="23" fillId="5" borderId="18" xfId="0" applyNumberFormat="1" applyFont="1" applyFill="1" applyBorder="1" applyAlignment="1">
      <alignment horizontal="right" vertical="center"/>
    </xf>
    <xf numFmtId="0" fontId="24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10" fontId="6" fillId="0" borderId="0" xfId="0" applyNumberFormat="1" applyFont="1"/>
    <xf numFmtId="9" fontId="19" fillId="0" borderId="0" xfId="2" applyFont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9" borderId="22" xfId="0" applyFont="1" applyFill="1" applyBorder="1" applyAlignment="1">
      <alignment horizontal="left" vertical="center"/>
    </xf>
    <xf numFmtId="0" fontId="23" fillId="9" borderId="34" xfId="0" applyFont="1" applyFill="1" applyBorder="1" applyAlignment="1">
      <alignment horizontal="left" vertical="center"/>
    </xf>
    <xf numFmtId="10" fontId="23" fillId="9" borderId="35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10" fontId="23" fillId="0" borderId="0" xfId="0" applyNumberFormat="1" applyFont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10" fontId="19" fillId="0" borderId="0" xfId="0" applyNumberFormat="1" applyFont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26" fillId="0" borderId="0" xfId="0" applyFont="1" applyAlignment="1">
      <alignment horizontal="justify" vertical="center"/>
    </xf>
    <xf numFmtId="0" fontId="8" fillId="0" borderId="0" xfId="1" applyAlignment="1" applyProtection="1">
      <alignment horizontal="left" vertical="center"/>
    </xf>
    <xf numFmtId="0" fontId="27" fillId="0" borderId="0" xfId="0" applyFont="1"/>
    <xf numFmtId="0" fontId="19" fillId="0" borderId="0" xfId="0" applyFont="1" applyAlignment="1">
      <alignment horizontal="right" vertical="center"/>
    </xf>
    <xf numFmtId="0" fontId="5" fillId="0" borderId="13" xfId="0" applyFont="1" applyBorder="1"/>
    <xf numFmtId="0" fontId="5" fillId="0" borderId="21" xfId="0" applyFont="1" applyBorder="1"/>
    <xf numFmtId="0" fontId="5" fillId="3" borderId="18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6" xfId="0" applyFont="1" applyBorder="1"/>
    <xf numFmtId="0" fontId="5" fillId="0" borderId="37" xfId="0" applyFont="1" applyBorder="1"/>
    <xf numFmtId="0" fontId="7" fillId="0" borderId="46" xfId="0" applyFont="1" applyBorder="1"/>
    <xf numFmtId="9" fontId="7" fillId="0" borderId="46" xfId="0" applyNumberFormat="1" applyFont="1" applyBorder="1"/>
    <xf numFmtId="0" fontId="7" fillId="0" borderId="36" xfId="0" applyFont="1" applyBorder="1" applyAlignment="1">
      <alignment horizontal="left" vertical="center"/>
    </xf>
    <xf numFmtId="9" fontId="5" fillId="0" borderId="21" xfId="2" applyFont="1" applyBorder="1"/>
    <xf numFmtId="9" fontId="5" fillId="0" borderId="1" xfId="2" applyFont="1" applyBorder="1" applyAlignment="1">
      <alignment horizontal="center"/>
    </xf>
    <xf numFmtId="9" fontId="5" fillId="0" borderId="18" xfId="2" applyFont="1" applyBorder="1"/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10" fontId="5" fillId="0" borderId="21" xfId="2" applyNumberFormat="1" applyFont="1" applyBorder="1"/>
    <xf numFmtId="10" fontId="5" fillId="0" borderId="18" xfId="2" applyNumberFormat="1" applyFont="1" applyBorder="1"/>
    <xf numFmtId="0" fontId="5" fillId="0" borderId="2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0" fontId="5" fillId="3" borderId="18" xfId="0" applyNumberFormat="1" applyFont="1" applyFill="1" applyBorder="1" applyAlignment="1">
      <alignment horizontal="center" vertical="center"/>
    </xf>
    <xf numFmtId="10" fontId="5" fillId="0" borderId="18" xfId="0" applyNumberFormat="1" applyFont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8" xfId="0" applyFont="1" applyBorder="1"/>
    <xf numFmtId="0" fontId="5" fillId="0" borderId="22" xfId="0" applyFont="1" applyBorder="1" applyAlignment="1">
      <alignment horizontal="left" vertical="center"/>
    </xf>
    <xf numFmtId="10" fontId="5" fillId="3" borderId="3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0" fontId="5" fillId="0" borderId="25" xfId="0" applyNumberFormat="1" applyFont="1" applyBorder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1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18" xfId="2" applyNumberFormat="1" applyFont="1" applyBorder="1" applyAlignment="1">
      <alignment horizontal="right"/>
    </xf>
    <xf numFmtId="10" fontId="5" fillId="0" borderId="22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10" fontId="5" fillId="0" borderId="35" xfId="2" applyNumberFormat="1" applyFont="1" applyBorder="1" applyAlignment="1">
      <alignment horizontal="right"/>
    </xf>
    <xf numFmtId="0" fontId="6" fillId="0" borderId="52" xfId="0" applyFont="1" applyBorder="1"/>
    <xf numFmtId="0" fontId="20" fillId="0" borderId="52" xfId="0" applyFont="1" applyBorder="1" applyAlignment="1">
      <alignment horizontal="justify"/>
    </xf>
    <xf numFmtId="0" fontId="20" fillId="0" borderId="53" xfId="0" applyFont="1" applyBorder="1" applyAlignment="1">
      <alignment horizontal="justify"/>
    </xf>
    <xf numFmtId="0" fontId="17" fillId="10" borderId="51" xfId="0" applyFont="1" applyFill="1" applyBorder="1" applyAlignment="1">
      <alignment horizontal="center"/>
    </xf>
    <xf numFmtId="1" fontId="6" fillId="0" borderId="0" xfId="3" applyNumberFormat="1" applyFont="1" applyAlignment="1">
      <alignment horizontal="center" vertic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4" xfId="0" applyNumberFormat="1" applyFont="1" applyBorder="1" applyAlignment="1">
      <alignment vertical="center"/>
    </xf>
    <xf numFmtId="165" fontId="3" fillId="0" borderId="9" xfId="3" applyFont="1" applyBorder="1" applyAlignment="1">
      <alignment vertical="center"/>
    </xf>
    <xf numFmtId="165" fontId="3" fillId="0" borderId="5" xfId="3" applyFont="1" applyBorder="1" applyAlignment="1">
      <alignment vertical="center"/>
    </xf>
    <xf numFmtId="9" fontId="3" fillId="3" borderId="7" xfId="2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3" applyFont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167" fontId="6" fillId="0" borderId="2" xfId="3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169" fontId="18" fillId="0" borderId="46" xfId="0" applyNumberFormat="1" applyFont="1" applyBorder="1"/>
    <xf numFmtId="169" fontId="7" fillId="0" borderId="46" xfId="0" applyNumberFormat="1" applyFont="1" applyBorder="1"/>
    <xf numFmtId="169" fontId="7" fillId="0" borderId="29" xfId="0" applyNumberFormat="1" applyFont="1" applyBorder="1"/>
    <xf numFmtId="0" fontId="3" fillId="0" borderId="54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165" fontId="3" fillId="0" borderId="54" xfId="3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13" fontId="1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" fillId="0" borderId="0" xfId="3" applyAlignment="1">
      <alignment vertical="center"/>
    </xf>
    <xf numFmtId="165" fontId="1" fillId="0" borderId="12" xfId="3" applyBorder="1" applyAlignment="1">
      <alignment vertical="center"/>
    </xf>
    <xf numFmtId="165" fontId="1" fillId="0" borderId="38" xfId="3" applyBorder="1" applyAlignment="1">
      <alignment vertical="center"/>
    </xf>
    <xf numFmtId="165" fontId="13" fillId="8" borderId="16" xfId="3" applyFont="1" applyFill="1" applyBorder="1" applyAlignment="1">
      <alignment horizontal="center" vertical="center"/>
    </xf>
    <xf numFmtId="165" fontId="6" fillId="8" borderId="4" xfId="3" applyFont="1" applyFill="1" applyBorder="1" applyAlignment="1">
      <alignment vertical="center"/>
    </xf>
    <xf numFmtId="165" fontId="3" fillId="8" borderId="4" xfId="3" applyFont="1" applyFill="1" applyBorder="1" applyAlignment="1">
      <alignment vertical="center"/>
    </xf>
    <xf numFmtId="168" fontId="3" fillId="0" borderId="3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horizontal="center" vertical="center"/>
    </xf>
    <xf numFmtId="167" fontId="1" fillId="3" borderId="2" xfId="3" applyNumberFormat="1" applyFill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right" vertical="center"/>
    </xf>
    <xf numFmtId="165" fontId="6" fillId="3" borderId="1" xfId="3" applyFont="1" applyFill="1" applyBorder="1" applyAlignment="1">
      <alignment horizontal="right" vertical="center"/>
    </xf>
    <xf numFmtId="165" fontId="6" fillId="4" borderId="0" xfId="3" applyFont="1" applyFill="1" applyAlignment="1">
      <alignment vertical="center"/>
    </xf>
    <xf numFmtId="43" fontId="6" fillId="0" borderId="1" xfId="3" applyNumberFormat="1" applyFont="1" applyBorder="1" applyAlignment="1">
      <alignment horizontal="right" vertical="center"/>
    </xf>
    <xf numFmtId="8" fontId="4" fillId="0" borderId="0" xfId="0" applyNumberFormat="1" applyFont="1" applyAlignment="1">
      <alignment vertical="center"/>
    </xf>
    <xf numFmtId="13" fontId="6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165" fontId="13" fillId="2" borderId="1" xfId="3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165" fontId="3" fillId="0" borderId="8" xfId="3" applyFont="1" applyBorder="1" applyAlignment="1">
      <alignment horizontal="left" vertical="center"/>
    </xf>
    <xf numFmtId="0" fontId="17" fillId="8" borderId="23" xfId="0" applyFont="1" applyFill="1" applyBorder="1" applyAlignment="1">
      <alignment horizontal="center" vertical="center"/>
    </xf>
    <xf numFmtId="0" fontId="17" fillId="8" borderId="24" xfId="0" applyFont="1" applyFill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8" borderId="5" xfId="3" applyFont="1" applyFill="1" applyBorder="1" applyAlignment="1">
      <alignment horizontal="center" vertical="center"/>
    </xf>
    <xf numFmtId="165" fontId="4" fillId="8" borderId="6" xfId="3" applyFont="1" applyFill="1" applyBorder="1" applyAlignment="1">
      <alignment horizontal="center" vertical="center"/>
    </xf>
    <xf numFmtId="165" fontId="4" fillId="8" borderId="7" xfId="3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7" fillId="8" borderId="20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10" borderId="17" xfId="0" applyFont="1" applyFill="1" applyBorder="1" applyAlignment="1">
      <alignment horizontal="center"/>
    </xf>
    <xf numFmtId="0" fontId="17" fillId="10" borderId="4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9" fontId="7" fillId="0" borderId="19" xfId="2" applyFont="1" applyBorder="1" applyAlignment="1">
      <alignment horizontal="center"/>
    </xf>
    <xf numFmtId="9" fontId="7" fillId="0" borderId="20" xfId="2" applyFont="1" applyBorder="1" applyAlignment="1">
      <alignment horizontal="center"/>
    </xf>
    <xf numFmtId="9" fontId="7" fillId="0" borderId="10" xfId="2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6"/>
  <sheetViews>
    <sheetView tabSelected="1" view="pageBreakPreview" topLeftCell="A262" zoomScaleNormal="100" zoomScaleSheetLayoutView="100" workbookViewId="0">
      <selection activeCell="D156" sqref="D156"/>
    </sheetView>
  </sheetViews>
  <sheetFormatPr defaultRowHeight="12.75" x14ac:dyDescent="0.2"/>
  <cols>
    <col min="1" max="1" width="48.5703125" style="9" customWidth="1"/>
    <col min="2" max="2" width="16" style="9" bestFit="1" customWidth="1"/>
    <col min="3" max="3" width="12.7109375" style="9" customWidth="1"/>
    <col min="4" max="4" width="14.7109375" style="10" customWidth="1"/>
    <col min="5" max="5" width="16" style="10" customWidth="1"/>
    <col min="6" max="6" width="14" style="10" customWidth="1"/>
    <col min="7" max="7" width="28.140625" style="10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6" x14ac:dyDescent="0.2">
      <c r="A1" s="11" t="s">
        <v>243</v>
      </c>
      <c r="B1" s="7"/>
      <c r="C1" s="7"/>
      <c r="D1" s="245"/>
      <c r="E1" s="245"/>
      <c r="F1" s="245"/>
    </row>
    <row r="2" spans="1:6" x14ac:dyDescent="0.2">
      <c r="A2" s="243" t="s">
        <v>244</v>
      </c>
      <c r="B2" s="7"/>
      <c r="C2" s="7"/>
      <c r="D2" s="245"/>
      <c r="E2" s="245"/>
      <c r="F2" s="245"/>
    </row>
    <row r="3" spans="1:6" x14ac:dyDescent="0.2">
      <c r="A3" s="243"/>
      <c r="B3" s="7"/>
      <c r="C3" s="7"/>
      <c r="D3" s="245"/>
      <c r="E3" s="245"/>
      <c r="F3" s="245"/>
    </row>
    <row r="4" spans="1:6" ht="12.75" customHeight="1" x14ac:dyDescent="0.2">
      <c r="A4" s="265" t="s">
        <v>247</v>
      </c>
      <c r="B4" s="265"/>
      <c r="C4" s="265"/>
      <c r="D4" s="265"/>
      <c r="E4" s="265"/>
      <c r="F4" s="265"/>
    </row>
    <row r="5" spans="1:6" x14ac:dyDescent="0.2">
      <c r="A5" s="265"/>
      <c r="B5" s="265"/>
      <c r="C5" s="265"/>
      <c r="D5" s="265"/>
      <c r="E5" s="265"/>
      <c r="F5" s="265"/>
    </row>
    <row r="6" spans="1:6" x14ac:dyDescent="0.2">
      <c r="A6" s="265"/>
      <c r="B6" s="265"/>
      <c r="C6" s="265"/>
      <c r="D6" s="265"/>
      <c r="E6" s="265"/>
      <c r="F6" s="265"/>
    </row>
    <row r="7" spans="1:6" x14ac:dyDescent="0.2">
      <c r="A7" s="265"/>
      <c r="B7" s="265"/>
      <c r="C7" s="265"/>
      <c r="D7" s="265"/>
      <c r="E7" s="265"/>
      <c r="F7" s="265"/>
    </row>
    <row r="8" spans="1:6" x14ac:dyDescent="0.2">
      <c r="A8" s="265"/>
      <c r="B8" s="265"/>
      <c r="C8" s="265"/>
      <c r="D8" s="265"/>
      <c r="E8" s="265"/>
      <c r="F8" s="265"/>
    </row>
    <row r="9" spans="1:6" x14ac:dyDescent="0.2">
      <c r="A9" s="265"/>
      <c r="B9" s="265"/>
      <c r="C9" s="265"/>
      <c r="D9" s="265"/>
      <c r="E9" s="265"/>
      <c r="F9" s="265"/>
    </row>
    <row r="10" spans="1:6" x14ac:dyDescent="0.2">
      <c r="A10" s="265"/>
      <c r="B10" s="265"/>
      <c r="C10" s="265"/>
      <c r="D10" s="265"/>
      <c r="E10" s="265"/>
      <c r="F10" s="265"/>
    </row>
    <row r="11" spans="1:6" x14ac:dyDescent="0.2">
      <c r="A11" s="265"/>
      <c r="B11" s="265"/>
      <c r="C11" s="265"/>
      <c r="D11" s="265"/>
      <c r="E11" s="265"/>
      <c r="F11" s="265"/>
    </row>
    <row r="12" spans="1:6" x14ac:dyDescent="0.2">
      <c r="A12" s="265"/>
      <c r="B12" s="265"/>
      <c r="C12" s="265"/>
      <c r="D12" s="265"/>
      <c r="E12" s="265"/>
      <c r="F12" s="265"/>
    </row>
    <row r="13" spans="1:6" x14ac:dyDescent="0.2">
      <c r="A13" s="265"/>
      <c r="B13" s="265"/>
      <c r="C13" s="265"/>
      <c r="D13" s="265"/>
      <c r="E13" s="265"/>
      <c r="F13" s="265"/>
    </row>
    <row r="14" spans="1:6" x14ac:dyDescent="0.2">
      <c r="A14" s="265"/>
      <c r="B14" s="265"/>
      <c r="C14" s="265"/>
      <c r="D14" s="265"/>
      <c r="E14" s="265"/>
      <c r="F14" s="265"/>
    </row>
    <row r="15" spans="1:6" x14ac:dyDescent="0.2">
      <c r="A15" s="265"/>
      <c r="B15" s="265"/>
      <c r="C15" s="265"/>
      <c r="D15" s="265"/>
      <c r="E15" s="265"/>
      <c r="F15" s="265"/>
    </row>
    <row r="16" spans="1:6" x14ac:dyDescent="0.2">
      <c r="A16" s="265"/>
      <c r="B16" s="265"/>
      <c r="C16" s="265"/>
      <c r="D16" s="265"/>
      <c r="E16" s="265"/>
      <c r="F16" s="265"/>
    </row>
    <row r="17" spans="1:7" x14ac:dyDescent="0.2">
      <c r="A17" s="265"/>
      <c r="B17" s="265"/>
      <c r="C17" s="265"/>
      <c r="D17" s="265"/>
      <c r="E17" s="265"/>
      <c r="F17" s="265"/>
    </row>
    <row r="18" spans="1:7" s="4" customFormat="1" ht="15.6" customHeight="1" thickBot="1" x14ac:dyDescent="0.25">
      <c r="A18" s="7"/>
      <c r="B18" s="5"/>
      <c r="C18" s="5"/>
      <c r="D18" s="6"/>
      <c r="E18" s="6"/>
      <c r="F18" s="6"/>
      <c r="G18" s="6"/>
    </row>
    <row r="19" spans="1:7" s="8" customFormat="1" ht="18" x14ac:dyDescent="0.2">
      <c r="A19" s="270" t="s">
        <v>256</v>
      </c>
      <c r="B19" s="271"/>
      <c r="C19" s="271"/>
      <c r="D19" s="271"/>
      <c r="E19" s="271"/>
      <c r="F19" s="272"/>
      <c r="G19" s="33"/>
    </row>
    <row r="20" spans="1:7" s="8" customFormat="1" ht="21.75" customHeight="1" x14ac:dyDescent="0.2">
      <c r="A20" s="273" t="s">
        <v>36</v>
      </c>
      <c r="B20" s="274"/>
      <c r="C20" s="274"/>
      <c r="D20" s="274"/>
      <c r="E20" s="274"/>
      <c r="F20" s="275"/>
      <c r="G20" s="33"/>
    </row>
    <row r="21" spans="1:7" s="4" customFormat="1" ht="10.9" customHeight="1" thickBot="1" x14ac:dyDescent="0.25">
      <c r="A21" s="121"/>
      <c r="B21" s="5"/>
      <c r="C21" s="5"/>
      <c r="D21" s="6"/>
      <c r="E21" s="6"/>
      <c r="F21" s="122"/>
      <c r="G21" s="6"/>
    </row>
    <row r="22" spans="1:7" s="4" customFormat="1" ht="15.75" customHeight="1" thickBot="1" x14ac:dyDescent="0.25">
      <c r="A22" s="279" t="s">
        <v>179</v>
      </c>
      <c r="B22" s="280"/>
      <c r="C22" s="280"/>
      <c r="D22" s="280"/>
      <c r="E22" s="280"/>
      <c r="F22" s="281"/>
      <c r="G22" s="6"/>
    </row>
    <row r="23" spans="1:7" s="4" customFormat="1" ht="15.75" customHeight="1" x14ac:dyDescent="0.2">
      <c r="A23" s="55" t="s">
        <v>178</v>
      </c>
      <c r="B23" s="36"/>
      <c r="C23" s="36"/>
      <c r="D23" s="217"/>
      <c r="E23" s="93" t="s">
        <v>31</v>
      </c>
      <c r="F23" s="37" t="s">
        <v>2</v>
      </c>
      <c r="G23" s="6"/>
    </row>
    <row r="24" spans="1:7" s="11" customFormat="1" ht="15.75" customHeight="1" x14ac:dyDescent="0.2">
      <c r="A24" s="100" t="str">
        <f>+A60</f>
        <v>1. Mão-de-obra</v>
      </c>
      <c r="B24" s="101"/>
      <c r="C24" s="102"/>
      <c r="D24" s="102"/>
      <c r="E24" s="214">
        <f>+F124</f>
        <v>15019.688780860926</v>
      </c>
      <c r="F24" s="103">
        <f t="shared" ref="F24:F41" si="0">IFERROR(E24/$E$44,0)</f>
        <v>0.10292694066247045</v>
      </c>
      <c r="G24" s="23"/>
    </row>
    <row r="25" spans="1:7" s="4" customFormat="1" ht="15.75" customHeight="1" x14ac:dyDescent="0.2">
      <c r="A25" s="44" t="str">
        <f>A62</f>
        <v>1.1. Auxiliar de serviços gerais primeiro e segundo turno</v>
      </c>
      <c r="B25" s="40"/>
      <c r="C25" s="42"/>
      <c r="D25" s="42"/>
      <c r="E25" s="215">
        <f>F73</f>
        <v>0</v>
      </c>
      <c r="F25" s="50">
        <f t="shared" si="0"/>
        <v>0</v>
      </c>
      <c r="G25" s="6"/>
    </row>
    <row r="26" spans="1:7" s="4" customFormat="1" ht="15.75" customHeight="1" x14ac:dyDescent="0.2">
      <c r="A26" s="44" t="str">
        <f>A75</f>
        <v>1.2  Operador primeiro e segundo turno</v>
      </c>
      <c r="B26" s="40"/>
      <c r="C26" s="42"/>
      <c r="D26" s="42"/>
      <c r="E26" s="215">
        <f>F88</f>
        <v>0</v>
      </c>
      <c r="F26" s="50">
        <f t="shared" si="0"/>
        <v>0</v>
      </c>
      <c r="G26" s="6"/>
    </row>
    <row r="27" spans="1:7" s="4" customFormat="1" ht="15.75" customHeight="1" x14ac:dyDescent="0.2">
      <c r="A27" s="44" t="str">
        <f>A90</f>
        <v>1.3 Motorista de carreta</v>
      </c>
      <c r="B27" s="40"/>
      <c r="C27" s="42"/>
      <c r="D27" s="42"/>
      <c r="E27" s="215">
        <f>F102</f>
        <v>13936.528780860926</v>
      </c>
      <c r="F27" s="50">
        <f t="shared" si="0"/>
        <v>9.5504260560734605E-2</v>
      </c>
      <c r="G27" s="6"/>
    </row>
    <row r="28" spans="1:7" s="4" customFormat="1" ht="15.75" customHeight="1" x14ac:dyDescent="0.2">
      <c r="A28" s="44" t="str">
        <f>A104</f>
        <v>1.4. Vale Transporte</v>
      </c>
      <c r="B28" s="40"/>
      <c r="C28" s="42"/>
      <c r="D28" s="42"/>
      <c r="E28" s="215">
        <f>F110</f>
        <v>177.84</v>
      </c>
      <c r="F28" s="50">
        <f t="shared" si="0"/>
        <v>1.2187021578462115E-3</v>
      </c>
      <c r="G28" s="6"/>
    </row>
    <row r="29" spans="1:7" s="4" customFormat="1" ht="15.75" customHeight="1" x14ac:dyDescent="0.2">
      <c r="A29" s="44" t="str">
        <f>A112</f>
        <v>1.5. Vale-refeição (diário)</v>
      </c>
      <c r="B29" s="40"/>
      <c r="C29" s="42"/>
      <c r="D29" s="42"/>
      <c r="E29" s="215">
        <f>F116</f>
        <v>905.32</v>
      </c>
      <c r="F29" s="50">
        <f t="shared" si="0"/>
        <v>6.2039779438896325E-3</v>
      </c>
      <c r="G29" s="6"/>
    </row>
    <row r="30" spans="1:7" s="4" customFormat="1" ht="15.75" customHeight="1" x14ac:dyDescent="0.2">
      <c r="A30" s="44" t="str">
        <f>A118</f>
        <v>1.6. Auxílio Alimentação (mensal)</v>
      </c>
      <c r="B30" s="40"/>
      <c r="C30" s="42"/>
      <c r="D30" s="42"/>
      <c r="E30" s="215">
        <f>F122</f>
        <v>0</v>
      </c>
      <c r="F30" s="50">
        <f t="shared" si="0"/>
        <v>0</v>
      </c>
      <c r="G30" s="6"/>
    </row>
    <row r="31" spans="1:7" s="11" customFormat="1" ht="15.75" customHeight="1" x14ac:dyDescent="0.2">
      <c r="A31" s="268" t="str">
        <f>+A126</f>
        <v>2. Uniformes e Equipamentos de Proteção Individual</v>
      </c>
      <c r="B31" s="269"/>
      <c r="C31" s="269"/>
      <c r="D31" s="102"/>
      <c r="E31" s="214">
        <f>+F159</f>
        <v>1002.75</v>
      </c>
      <c r="F31" s="103">
        <f t="shared" si="0"/>
        <v>6.8716463606628914E-3</v>
      </c>
      <c r="G31" s="23"/>
    </row>
    <row r="32" spans="1:7" s="11" customFormat="1" ht="15.75" customHeight="1" x14ac:dyDescent="0.2">
      <c r="A32" s="110" t="str">
        <f>+A161</f>
        <v>3. Veículos e Equipamentos</v>
      </c>
      <c r="B32" s="111"/>
      <c r="C32" s="102"/>
      <c r="D32" s="102"/>
      <c r="E32" s="214">
        <f>+F240</f>
        <v>98671.409705454542</v>
      </c>
      <c r="F32" s="103">
        <f t="shared" si="0"/>
        <v>0.67617555063970458</v>
      </c>
      <c r="G32" s="23"/>
    </row>
    <row r="33" spans="1:7" s="4" customFormat="1" ht="15.75" customHeight="1" x14ac:dyDescent="0.2">
      <c r="A33" s="56" t="str">
        <f>A163</f>
        <v>3.1 CARRETAS 55 M³</v>
      </c>
      <c r="B33" s="41"/>
      <c r="C33" s="42"/>
      <c r="D33" s="42"/>
      <c r="E33" s="215">
        <f>SUM(E34:E39)</f>
        <v>98671.409705454542</v>
      </c>
      <c r="F33" s="116">
        <f t="shared" si="0"/>
        <v>0.67617555063970458</v>
      </c>
      <c r="G33" s="6"/>
    </row>
    <row r="34" spans="1:7" s="4" customFormat="1" ht="15.75" customHeight="1" x14ac:dyDescent="0.2">
      <c r="A34" s="56" t="str">
        <f>A165</f>
        <v>3.1.1. Depreciação</v>
      </c>
      <c r="B34" s="41"/>
      <c r="C34" s="42"/>
      <c r="D34" s="42"/>
      <c r="E34" s="215">
        <f>F179</f>
        <v>10385.346666666668</v>
      </c>
      <c r="F34" s="116">
        <f t="shared" si="0"/>
        <v>7.1168715658162546E-2</v>
      </c>
      <c r="G34" s="6"/>
    </row>
    <row r="35" spans="1:7" s="4" customFormat="1" ht="15.75" customHeight="1" x14ac:dyDescent="0.2">
      <c r="A35" s="56" t="str">
        <f>A181</f>
        <v>3.1.2. Remuneração do Capital</v>
      </c>
      <c r="B35" s="41"/>
      <c r="C35" s="42"/>
      <c r="D35" s="42"/>
      <c r="E35" s="215">
        <f>F195</f>
        <v>5615.5935333333327</v>
      </c>
      <c r="F35" s="116">
        <f t="shared" si="0"/>
        <v>3.8482545865162865E-2</v>
      </c>
      <c r="G35" s="6"/>
    </row>
    <row r="36" spans="1:7" s="4" customFormat="1" ht="15.75" customHeight="1" x14ac:dyDescent="0.2">
      <c r="A36" s="56" t="str">
        <f>A197</f>
        <v>3.1.3. Impostos e Seguros</v>
      </c>
      <c r="B36" s="41"/>
      <c r="C36" s="42"/>
      <c r="D36" s="42"/>
      <c r="E36" s="215">
        <f>F203</f>
        <v>2786.6666666666665</v>
      </c>
      <c r="F36" s="116">
        <f t="shared" si="0"/>
        <v>1.909647255884377E-2</v>
      </c>
      <c r="G36" s="6"/>
    </row>
    <row r="37" spans="1:7" s="4" customFormat="1" ht="15.75" customHeight="1" x14ac:dyDescent="0.2">
      <c r="A37" s="56" t="str">
        <f>A205</f>
        <v>3.1.4. Consumos</v>
      </c>
      <c r="B37" s="41"/>
      <c r="C37" s="42"/>
      <c r="D37" s="42"/>
      <c r="E37" s="215">
        <f>F223</f>
        <v>35303.722838787871</v>
      </c>
      <c r="F37" s="116">
        <f t="shared" si="0"/>
        <v>0.24192939273299233</v>
      </c>
      <c r="G37" s="6"/>
    </row>
    <row r="38" spans="1:7" s="4" customFormat="1" ht="15.75" customHeight="1" x14ac:dyDescent="0.2">
      <c r="A38" s="56" t="str">
        <f>A225</f>
        <v>3.1.5. Manutenção</v>
      </c>
      <c r="B38" s="41"/>
      <c r="C38" s="42"/>
      <c r="D38" s="42"/>
      <c r="E38" s="215">
        <f>F228</f>
        <v>19015.2</v>
      </c>
      <c r="F38" s="116">
        <f t="shared" si="0"/>
        <v>0.13030738456971031</v>
      </c>
      <c r="G38" s="6"/>
    </row>
    <row r="39" spans="1:7" s="4" customFormat="1" ht="15.75" customHeight="1" x14ac:dyDescent="0.2">
      <c r="A39" s="56" t="str">
        <f>A230</f>
        <v>3.1.6. Pneus</v>
      </c>
      <c r="B39" s="41"/>
      <c r="C39" s="42"/>
      <c r="D39" s="42"/>
      <c r="E39" s="215">
        <f>F237</f>
        <v>25564.880000000001</v>
      </c>
      <c r="F39" s="116">
        <f t="shared" si="0"/>
        <v>0.17519103925483276</v>
      </c>
      <c r="G39" s="6"/>
    </row>
    <row r="40" spans="1:7" s="11" customFormat="1" ht="15.75" customHeight="1" x14ac:dyDescent="0.2">
      <c r="A40" s="110" t="str">
        <f>+A242</f>
        <v>4. Ferramentas e Materiais de Consumo</v>
      </c>
      <c r="B40" s="111"/>
      <c r="C40" s="102"/>
      <c r="D40" s="102"/>
      <c r="E40" s="214">
        <f>+F249</f>
        <v>6.1666666666666661</v>
      </c>
      <c r="F40" s="103">
        <f t="shared" si="0"/>
        <v>4.2258940471125565E-5</v>
      </c>
      <c r="G40" s="23"/>
    </row>
    <row r="41" spans="1:7" s="11" customFormat="1" ht="15.75" customHeight="1" x14ac:dyDescent="0.2">
      <c r="A41" s="110" t="str">
        <f>+A251</f>
        <v>5. Monitoramento da Frota</v>
      </c>
      <c r="B41" s="111"/>
      <c r="C41" s="102"/>
      <c r="D41" s="102"/>
      <c r="E41" s="214">
        <f>+F260</f>
        <v>93.666666666666671</v>
      </c>
      <c r="F41" s="103">
        <f t="shared" si="0"/>
        <v>6.4187904175060995E-4</v>
      </c>
      <c r="G41" s="23"/>
    </row>
    <row r="42" spans="1:7" s="11" customFormat="1" ht="15.75" customHeight="1" x14ac:dyDescent="0.2">
      <c r="A42" s="110" t="s">
        <v>249</v>
      </c>
      <c r="B42" s="111"/>
      <c r="C42" s="102"/>
      <c r="D42" s="102"/>
      <c r="E42" s="251">
        <f>F267</f>
        <v>0</v>
      </c>
      <c r="F42" s="103">
        <f>IFERROR(E42/$E$44,0)</f>
        <v>0</v>
      </c>
      <c r="G42" s="23"/>
    </row>
    <row r="43" spans="1:7" s="11" customFormat="1" ht="15.75" customHeight="1" thickBot="1" x14ac:dyDescent="0.25">
      <c r="A43" s="110" t="str">
        <f>+A271</f>
        <v>7. Benefícios e Despesas Indiretas - BDI</v>
      </c>
      <c r="B43" s="111"/>
      <c r="C43" s="102"/>
      <c r="D43" s="102"/>
      <c r="E43" s="216">
        <f>F277</f>
        <v>31132.046509488762</v>
      </c>
      <c r="F43" s="103">
        <f>IFERROR(E43/$E$44,0)</f>
        <v>0.21334172435494023</v>
      </c>
      <c r="G43" s="23"/>
    </row>
    <row r="44" spans="1:7" s="4" customFormat="1" ht="15.75" customHeight="1" thickBot="1" x14ac:dyDescent="0.25">
      <c r="A44" s="38" t="s">
        <v>215</v>
      </c>
      <c r="B44" s="39"/>
      <c r="C44" s="26"/>
      <c r="D44" s="26"/>
      <c r="E44" s="92">
        <f>E24+E31+E32+E40+E41+E42+E43</f>
        <v>145925.72832913758</v>
      </c>
      <c r="F44" s="115">
        <f>F24+F31+F32+F40+F41+F43+F42</f>
        <v>1</v>
      </c>
      <c r="G44" s="6"/>
    </row>
    <row r="46" spans="1:7" ht="13.5" thickBot="1" x14ac:dyDescent="0.25"/>
    <row r="47" spans="1:7" s="4" customFormat="1" ht="15" customHeight="1" thickBot="1" x14ac:dyDescent="0.25">
      <c r="A47" s="279" t="s">
        <v>83</v>
      </c>
      <c r="B47" s="280"/>
      <c r="C47" s="280"/>
      <c r="D47" s="280"/>
      <c r="E47" s="281"/>
      <c r="F47" s="10"/>
      <c r="G47" s="6"/>
    </row>
    <row r="48" spans="1:7" s="4" customFormat="1" ht="15" customHeight="1" thickBot="1" x14ac:dyDescent="0.25">
      <c r="A48" s="276" t="s">
        <v>32</v>
      </c>
      <c r="B48" s="277"/>
      <c r="C48" s="277"/>
      <c r="D48" s="278"/>
      <c r="E48" s="43" t="s">
        <v>33</v>
      </c>
      <c r="F48" s="10"/>
      <c r="G48" s="6"/>
    </row>
    <row r="49" spans="1:7" s="4" customFormat="1" ht="15" customHeight="1" x14ac:dyDescent="0.2">
      <c r="A49" s="64" t="str">
        <f>+A62</f>
        <v>1.1. Auxiliar de serviços gerais primeiro e segundo turno</v>
      </c>
      <c r="B49" s="65"/>
      <c r="C49" s="65"/>
      <c r="D49" s="66"/>
      <c r="E49" s="67">
        <v>0</v>
      </c>
      <c r="F49" s="10"/>
      <c r="G49" s="6"/>
    </row>
    <row r="50" spans="1:7" s="4" customFormat="1" ht="15" customHeight="1" x14ac:dyDescent="0.2">
      <c r="A50" s="58" t="str">
        <f>+A75</f>
        <v>1.2  Operador primeiro e segundo turno</v>
      </c>
      <c r="B50" s="57"/>
      <c r="C50" s="57"/>
      <c r="D50" s="68"/>
      <c r="E50" s="61">
        <v>0</v>
      </c>
      <c r="F50" s="10"/>
      <c r="G50" s="6"/>
    </row>
    <row r="51" spans="1:7" s="4" customFormat="1" ht="15" customHeight="1" x14ac:dyDescent="0.2">
      <c r="A51" s="246" t="s">
        <v>273</v>
      </c>
      <c r="B51" s="57"/>
      <c r="C51" s="57"/>
      <c r="D51" s="68"/>
      <c r="E51" s="61">
        <v>2</v>
      </c>
      <c r="F51" s="10"/>
      <c r="G51" s="6"/>
    </row>
    <row r="52" spans="1:7" s="4" customFormat="1" ht="15" customHeight="1" thickBot="1" x14ac:dyDescent="0.25">
      <c r="A52" s="62" t="s">
        <v>49</v>
      </c>
      <c r="B52" s="63"/>
      <c r="C52" s="63"/>
      <c r="D52" s="69"/>
      <c r="E52" s="70">
        <f>SUM(E49:E51)</f>
        <v>2</v>
      </c>
      <c r="F52" s="10"/>
      <c r="G52" s="6"/>
    </row>
    <row r="53" spans="1:7" s="4" customFormat="1" ht="15" customHeight="1" thickBot="1" x14ac:dyDescent="0.25">
      <c r="A53" s="104"/>
      <c r="B53" s="105"/>
      <c r="C53" s="10"/>
      <c r="D53" s="10"/>
      <c r="E53" s="106"/>
      <c r="F53" s="10"/>
      <c r="G53" s="6"/>
    </row>
    <row r="54" spans="1:7" s="4" customFormat="1" ht="15" customHeight="1" x14ac:dyDescent="0.2">
      <c r="A54" s="266" t="s">
        <v>47</v>
      </c>
      <c r="B54" s="267"/>
      <c r="C54" s="267"/>
      <c r="D54" s="267"/>
      <c r="E54" s="43" t="s">
        <v>33</v>
      </c>
      <c r="F54" s="9"/>
      <c r="G54" s="6"/>
    </row>
    <row r="55" spans="1:7" s="4" customFormat="1" ht="15" customHeight="1" thickBot="1" x14ac:dyDescent="0.25">
      <c r="A55" s="247" t="s">
        <v>258</v>
      </c>
      <c r="B55" s="107"/>
      <c r="C55" s="107"/>
      <c r="D55" s="108"/>
      <c r="E55" s="109">
        <v>2</v>
      </c>
      <c r="F55" s="9"/>
      <c r="G55" s="6"/>
    </row>
    <row r="56" spans="1:7" s="4" customFormat="1" ht="15" customHeight="1" x14ac:dyDescent="0.2">
      <c r="A56" s="10"/>
      <c r="B56" s="10"/>
      <c r="C56" s="10"/>
      <c r="D56" s="9"/>
      <c r="E56" s="213"/>
      <c r="F56" s="9"/>
      <c r="G56" s="6"/>
    </row>
    <row r="57" spans="1:7" s="4" customFormat="1" ht="13.5" thickBot="1" x14ac:dyDescent="0.25">
      <c r="A57" s="10"/>
      <c r="B57" s="10"/>
      <c r="C57" s="10"/>
      <c r="D57" s="9"/>
      <c r="E57" s="59"/>
      <c r="F57" s="9"/>
      <c r="G57" s="6"/>
    </row>
    <row r="58" spans="1:7" s="11" customFormat="1" ht="15.75" customHeight="1" thickBot="1" x14ac:dyDescent="0.25">
      <c r="A58" s="218" t="s">
        <v>175</v>
      </c>
      <c r="B58" s="219">
        <v>1</v>
      </c>
      <c r="C58" s="23"/>
      <c r="E58" s="123"/>
      <c r="G58" s="23"/>
    </row>
    <row r="59" spans="1:7" s="4" customFormat="1" ht="15.75" customHeight="1" x14ac:dyDescent="0.2">
      <c r="A59" s="10"/>
      <c r="B59" s="10"/>
      <c r="C59" s="10"/>
      <c r="D59" s="9"/>
      <c r="E59" s="59"/>
      <c r="F59" s="9"/>
      <c r="G59" s="6"/>
    </row>
    <row r="60" spans="1:7" ht="13.15" customHeight="1" x14ac:dyDescent="0.2">
      <c r="A60" s="11" t="s">
        <v>39</v>
      </c>
    </row>
    <row r="61" spans="1:7" ht="11.25" customHeight="1" x14ac:dyDescent="0.2"/>
    <row r="62" spans="1:7" ht="13.9" customHeight="1" thickBot="1" x14ac:dyDescent="0.25">
      <c r="A62" s="7" t="s">
        <v>272</v>
      </c>
    </row>
    <row r="63" spans="1:7" ht="13.9" customHeight="1" thickBot="1" x14ac:dyDescent="0.25">
      <c r="A63" s="51" t="s">
        <v>53</v>
      </c>
      <c r="B63" s="52" t="s">
        <v>54</v>
      </c>
      <c r="C63" s="52" t="s">
        <v>33</v>
      </c>
      <c r="D63" s="53" t="s">
        <v>212</v>
      </c>
      <c r="E63" s="53" t="s">
        <v>55</v>
      </c>
      <c r="F63" s="54" t="s">
        <v>56</v>
      </c>
    </row>
    <row r="64" spans="1:7" ht="13.15" customHeight="1" x14ac:dyDescent="0.2">
      <c r="A64" s="13" t="s">
        <v>192</v>
      </c>
      <c r="B64" s="14" t="s">
        <v>7</v>
      </c>
      <c r="C64" s="14">
        <v>1</v>
      </c>
      <c r="D64" s="75">
        <v>1826.93</v>
      </c>
      <c r="E64" s="15">
        <f>C64*D64</f>
        <v>1826.93</v>
      </c>
    </row>
    <row r="65" spans="1:7" x14ac:dyDescent="0.2">
      <c r="A65" s="16" t="s">
        <v>27</v>
      </c>
      <c r="B65" s="17" t="s">
        <v>0</v>
      </c>
      <c r="C65" s="76">
        <v>0</v>
      </c>
      <c r="D65" s="18">
        <f>D64/220*2</f>
        <v>16.608454545454546</v>
      </c>
      <c r="E65" s="18">
        <f>C65*D65</f>
        <v>0</v>
      </c>
    </row>
    <row r="66" spans="1:7" ht="13.15" customHeight="1" x14ac:dyDescent="0.2">
      <c r="A66" s="16" t="s">
        <v>28</v>
      </c>
      <c r="B66" s="17" t="s">
        <v>0</v>
      </c>
      <c r="C66" s="76">
        <v>0</v>
      </c>
      <c r="D66" s="18">
        <f>D64/220*1.5</f>
        <v>12.456340909090908</v>
      </c>
      <c r="E66" s="18">
        <f>C66*D66</f>
        <v>0</v>
      </c>
    </row>
    <row r="67" spans="1:7" ht="13.15" customHeight="1" x14ac:dyDescent="0.2">
      <c r="A67" s="16" t="s">
        <v>194</v>
      </c>
      <c r="B67" s="17" t="s">
        <v>26</v>
      </c>
      <c r="D67" s="18">
        <f>63/302*(SUM(E65:E66))</f>
        <v>0</v>
      </c>
      <c r="E67" s="18">
        <f>D67</f>
        <v>0</v>
      </c>
    </row>
    <row r="68" spans="1:7" x14ac:dyDescent="0.2">
      <c r="A68" s="16" t="s">
        <v>1</v>
      </c>
      <c r="B68" s="17" t="s">
        <v>2</v>
      </c>
      <c r="C68" s="17">
        <v>40</v>
      </c>
      <c r="D68" s="18">
        <f>SUM(E64:E67)</f>
        <v>1826.93</v>
      </c>
      <c r="E68" s="18">
        <f>C68*D68/100</f>
        <v>730.77199999999993</v>
      </c>
    </row>
    <row r="69" spans="1:7" x14ac:dyDescent="0.2">
      <c r="A69" s="94" t="s">
        <v>3</v>
      </c>
      <c r="B69" s="95"/>
      <c r="C69" s="95"/>
      <c r="D69" s="31"/>
      <c r="E69" s="96">
        <f>SUM(E64:E68)</f>
        <v>2557.7020000000002</v>
      </c>
    </row>
    <row r="70" spans="1:7" x14ac:dyDescent="0.2">
      <c r="A70" s="16" t="s">
        <v>4</v>
      </c>
      <c r="B70" s="17" t="s">
        <v>2</v>
      </c>
      <c r="C70" s="113">
        <v>77.2</v>
      </c>
      <c r="D70" s="18">
        <f>E69</f>
        <v>2557.7020000000002</v>
      </c>
      <c r="E70" s="18">
        <f>D70*C70/100</f>
        <v>1974.5459440000004</v>
      </c>
    </row>
    <row r="71" spans="1:7" x14ac:dyDescent="0.2">
      <c r="A71" s="94" t="s">
        <v>61</v>
      </c>
      <c r="B71" s="95"/>
      <c r="C71" s="95"/>
      <c r="D71" s="31"/>
      <c r="E71" s="96">
        <f>E69+E70</f>
        <v>4532.2479440000006</v>
      </c>
    </row>
    <row r="72" spans="1:7" ht="13.5" thickBot="1" x14ac:dyDescent="0.25">
      <c r="A72" s="16" t="s">
        <v>5</v>
      </c>
      <c r="B72" s="17" t="s">
        <v>6</v>
      </c>
      <c r="C72" s="74">
        <v>0</v>
      </c>
      <c r="D72" s="18">
        <f>E71</f>
        <v>4532.2479440000006</v>
      </c>
      <c r="E72" s="18">
        <f>C72*D72</f>
        <v>0</v>
      </c>
      <c r="G72" s="6"/>
    </row>
    <row r="73" spans="1:7" ht="13.9" customHeight="1" thickBot="1" x14ac:dyDescent="0.25">
      <c r="D73" s="98" t="s">
        <v>174</v>
      </c>
      <c r="E73" s="45">
        <v>1</v>
      </c>
      <c r="F73" s="99">
        <f>E72*E73</f>
        <v>0</v>
      </c>
      <c r="G73" s="6"/>
    </row>
    <row r="74" spans="1:7" ht="11.25" customHeight="1" x14ac:dyDescent="0.2"/>
    <row r="75" spans="1:7" s="12" customFormat="1" ht="13.15" customHeight="1" thickBot="1" x14ac:dyDescent="0.25">
      <c r="A75" s="7" t="s">
        <v>257</v>
      </c>
      <c r="B75" s="9"/>
      <c r="C75" s="9"/>
      <c r="D75" s="10"/>
      <c r="E75" s="10"/>
      <c r="F75" s="10"/>
      <c r="G75" s="10"/>
    </row>
    <row r="76" spans="1:7" ht="13.5" thickBot="1" x14ac:dyDescent="0.25">
      <c r="A76" s="51" t="s">
        <v>53</v>
      </c>
      <c r="B76" s="52" t="s">
        <v>54</v>
      </c>
      <c r="C76" s="52" t="s">
        <v>33</v>
      </c>
      <c r="D76" s="53" t="s">
        <v>212</v>
      </c>
      <c r="E76" s="53" t="s">
        <v>55</v>
      </c>
      <c r="F76" s="54" t="s">
        <v>56</v>
      </c>
    </row>
    <row r="77" spans="1:7" x14ac:dyDescent="0.2">
      <c r="A77" s="240" t="s">
        <v>192</v>
      </c>
      <c r="B77" s="14" t="s">
        <v>7</v>
      </c>
      <c r="C77" s="14">
        <v>1</v>
      </c>
      <c r="D77" s="75">
        <v>1555.34</v>
      </c>
      <c r="E77" s="15">
        <f>C77*D77</f>
        <v>1555.34</v>
      </c>
    </row>
    <row r="78" spans="1:7" x14ac:dyDescent="0.2">
      <c r="A78" s="240" t="s">
        <v>245</v>
      </c>
      <c r="B78" s="14" t="s">
        <v>7</v>
      </c>
      <c r="C78" s="14">
        <v>1</v>
      </c>
      <c r="D78" s="75">
        <v>954</v>
      </c>
      <c r="E78" s="15"/>
    </row>
    <row r="79" spans="1:7" x14ac:dyDescent="0.2">
      <c r="A79" s="16" t="s">
        <v>27</v>
      </c>
      <c r="B79" s="17" t="s">
        <v>0</v>
      </c>
      <c r="C79" s="76">
        <v>0</v>
      </c>
      <c r="D79" s="18">
        <f>D77/220*2</f>
        <v>14.139454545454544</v>
      </c>
      <c r="E79" s="18">
        <f>C79*D79</f>
        <v>0</v>
      </c>
    </row>
    <row r="80" spans="1:7" ht="13.15" customHeight="1" x14ac:dyDescent="0.2">
      <c r="A80" s="16" t="s">
        <v>28</v>
      </c>
      <c r="B80" s="17" t="s">
        <v>0</v>
      </c>
      <c r="C80" s="76">
        <v>0</v>
      </c>
      <c r="D80" s="18">
        <f>D77/220*1.5</f>
        <v>10.604590909090909</v>
      </c>
      <c r="E80" s="18">
        <f>C80*D80</f>
        <v>0</v>
      </c>
    </row>
    <row r="81" spans="1:7" x14ac:dyDescent="0.2">
      <c r="A81" s="16" t="s">
        <v>194</v>
      </c>
      <c r="B81" s="17" t="s">
        <v>26</v>
      </c>
      <c r="D81" s="18">
        <f>63/302*(SUM(E79:E80))</f>
        <v>0</v>
      </c>
      <c r="E81" s="18">
        <f>D81</f>
        <v>0</v>
      </c>
    </row>
    <row r="82" spans="1:7" x14ac:dyDescent="0.2">
      <c r="A82" s="16" t="s">
        <v>193</v>
      </c>
      <c r="B82" s="17"/>
      <c r="C82" s="78">
        <v>2</v>
      </c>
      <c r="D82" s="18"/>
      <c r="E82" s="18"/>
    </row>
    <row r="83" spans="1:7" s="11" customFormat="1" x14ac:dyDescent="0.2">
      <c r="A83" s="16" t="s">
        <v>1</v>
      </c>
      <c r="B83" s="17" t="s">
        <v>2</v>
      </c>
      <c r="C83" s="74">
        <v>20</v>
      </c>
      <c r="D83" s="18">
        <f>IF(C82=2,SUM(E77:E81),IF(C82=1,(SUM(E77:E81))*D78/D77,0))</f>
        <v>1555.34</v>
      </c>
      <c r="E83" s="18">
        <f>C83*D83/100</f>
        <v>311.06799999999998</v>
      </c>
      <c r="F83" s="10"/>
      <c r="G83" s="23"/>
    </row>
    <row r="84" spans="1:7" x14ac:dyDescent="0.2">
      <c r="A84" s="86" t="s">
        <v>3</v>
      </c>
      <c r="B84" s="95"/>
      <c r="C84" s="95"/>
      <c r="D84" s="31"/>
      <c r="E84" s="88">
        <f>SUM(E77:E83)</f>
        <v>1866.4079999999999</v>
      </c>
      <c r="F84" s="23"/>
    </row>
    <row r="85" spans="1:7" s="11" customFormat="1" x14ac:dyDescent="0.2">
      <c r="A85" s="16" t="s">
        <v>4</v>
      </c>
      <c r="B85" s="17" t="s">
        <v>2</v>
      </c>
      <c r="C85" s="18">
        <v>77.2</v>
      </c>
      <c r="D85" s="18">
        <f>E84</f>
        <v>1866.4079999999999</v>
      </c>
      <c r="E85" s="18">
        <f>D85*C85/100</f>
        <v>1440.8669759999998</v>
      </c>
      <c r="F85" s="10"/>
      <c r="G85" s="23"/>
    </row>
    <row r="86" spans="1:7" x14ac:dyDescent="0.2">
      <c r="A86" s="86" t="s">
        <v>227</v>
      </c>
      <c r="B86" s="225"/>
      <c r="C86" s="225"/>
      <c r="D86" s="226"/>
      <c r="E86" s="88">
        <f>E84+E85</f>
        <v>3307.2749759999997</v>
      </c>
      <c r="F86" s="23"/>
    </row>
    <row r="87" spans="1:7" ht="13.5" thickBot="1" x14ac:dyDescent="0.25">
      <c r="A87" s="16" t="s">
        <v>5</v>
      </c>
      <c r="B87" s="17" t="s">
        <v>6</v>
      </c>
      <c r="C87" s="74">
        <v>0</v>
      </c>
      <c r="D87" s="18">
        <f>E86</f>
        <v>3307.2749759999997</v>
      </c>
      <c r="E87" s="18">
        <f>C87*D87</f>
        <v>0</v>
      </c>
    </row>
    <row r="88" spans="1:7" ht="11.25" customHeight="1" thickBot="1" x14ac:dyDescent="0.25">
      <c r="A88" s="244" t="s">
        <v>246</v>
      </c>
      <c r="D88" s="98" t="s">
        <v>174</v>
      </c>
      <c r="E88" s="45">
        <v>1</v>
      </c>
      <c r="F88" s="99">
        <f>E87*E88</f>
        <v>0</v>
      </c>
    </row>
    <row r="90" spans="1:7" ht="13.5" thickBot="1" x14ac:dyDescent="0.25">
      <c r="A90" s="7" t="s">
        <v>275</v>
      </c>
    </row>
    <row r="91" spans="1:7" ht="13.5" thickBot="1" x14ac:dyDescent="0.25">
      <c r="A91" s="51" t="s">
        <v>53</v>
      </c>
      <c r="B91" s="52" t="s">
        <v>54</v>
      </c>
      <c r="C91" s="52" t="s">
        <v>33</v>
      </c>
      <c r="D91" s="53" t="s">
        <v>212</v>
      </c>
      <c r="E91" s="53" t="s">
        <v>55</v>
      </c>
      <c r="F91" s="54" t="s">
        <v>56</v>
      </c>
    </row>
    <row r="92" spans="1:7" x14ac:dyDescent="0.2">
      <c r="A92" s="13" t="s">
        <v>192</v>
      </c>
      <c r="B92" s="14" t="s">
        <v>7</v>
      </c>
      <c r="C92" s="14">
        <v>1</v>
      </c>
      <c r="D92" s="75">
        <v>1919.55</v>
      </c>
      <c r="E92" s="15">
        <f>C92*D92</f>
        <v>1919.55</v>
      </c>
    </row>
    <row r="93" spans="1:7" x14ac:dyDescent="0.2">
      <c r="A93" s="16" t="s">
        <v>27</v>
      </c>
      <c r="B93" s="17" t="s">
        <v>0</v>
      </c>
      <c r="C93" s="76">
        <v>4.25</v>
      </c>
      <c r="D93" s="18">
        <f>D92/30*2</f>
        <v>127.97</v>
      </c>
      <c r="E93" s="18">
        <f>C93*D93</f>
        <v>543.87249999999995</v>
      </c>
    </row>
    <row r="94" spans="1:7" s="11" customFormat="1" x14ac:dyDescent="0.2">
      <c r="A94" s="16" t="s">
        <v>28</v>
      </c>
      <c r="B94" s="17" t="s">
        <v>0</v>
      </c>
      <c r="C94" s="76">
        <v>2</v>
      </c>
      <c r="D94" s="18">
        <f>D92/30*1.5</f>
        <v>95.977499999999992</v>
      </c>
      <c r="E94" s="18">
        <f>C94*D94</f>
        <v>191.95499999999998</v>
      </c>
      <c r="F94" s="10"/>
      <c r="G94" s="23"/>
    </row>
    <row r="95" spans="1:7" x14ac:dyDescent="0.2">
      <c r="A95" s="16" t="s">
        <v>194</v>
      </c>
      <c r="B95" s="17" t="s">
        <v>26</v>
      </c>
      <c r="D95" s="18">
        <f>63/302*(SUM(E93:E94))</f>
        <v>153.50043874172184</v>
      </c>
      <c r="E95" s="18">
        <f>D95</f>
        <v>153.50043874172184</v>
      </c>
    </row>
    <row r="96" spans="1:7" x14ac:dyDescent="0.2">
      <c r="A96" s="16" t="s">
        <v>193</v>
      </c>
      <c r="B96" s="17"/>
      <c r="C96" s="78">
        <v>2</v>
      </c>
      <c r="D96" s="18"/>
      <c r="E96" s="18"/>
    </row>
    <row r="97" spans="1:7" s="11" customFormat="1" x14ac:dyDescent="0.2">
      <c r="A97" s="16" t="s">
        <v>1</v>
      </c>
      <c r="B97" s="17" t="s">
        <v>2</v>
      </c>
      <c r="C97" s="74">
        <v>40</v>
      </c>
      <c r="D97" s="18">
        <f>IF(C96=2,SUM(E91:E95),IF(C96=1,(SUM(E91:E95))*D92/D91,0))</f>
        <v>2808.8779387417217</v>
      </c>
      <c r="E97" s="18">
        <f>C97*D97/100</f>
        <v>1123.5511754966888</v>
      </c>
      <c r="F97" s="10"/>
      <c r="G97" s="23"/>
    </row>
    <row r="98" spans="1:7" x14ac:dyDescent="0.2">
      <c r="A98" s="94" t="s">
        <v>3</v>
      </c>
      <c r="B98" s="95"/>
      <c r="C98" s="95"/>
      <c r="D98" s="31"/>
      <c r="E98" s="96">
        <f>SUM(E92:E97)</f>
        <v>3932.4291142384104</v>
      </c>
      <c r="F98" s="23"/>
    </row>
    <row r="99" spans="1:7" s="11" customFormat="1" x14ac:dyDescent="0.2">
      <c r="A99" s="16" t="s">
        <v>4</v>
      </c>
      <c r="B99" s="17" t="s">
        <v>2</v>
      </c>
      <c r="C99" s="18">
        <v>77.2</v>
      </c>
      <c r="D99" s="18">
        <f>E98</f>
        <v>3932.4291142384104</v>
      </c>
      <c r="E99" s="18">
        <f>D99*C99/100</f>
        <v>3035.8352761920528</v>
      </c>
      <c r="F99" s="10"/>
      <c r="G99" s="23"/>
    </row>
    <row r="100" spans="1:7" x14ac:dyDescent="0.2">
      <c r="A100" s="94" t="s">
        <v>227</v>
      </c>
      <c r="B100" s="95"/>
      <c r="C100" s="95"/>
      <c r="D100" s="31"/>
      <c r="E100" s="96">
        <f>E98+E99</f>
        <v>6968.2643904304632</v>
      </c>
      <c r="F100" s="23"/>
    </row>
    <row r="101" spans="1:7" ht="13.5" thickBot="1" x14ac:dyDescent="0.25">
      <c r="A101" s="16" t="s">
        <v>5</v>
      </c>
      <c r="B101" s="17" t="s">
        <v>6</v>
      </c>
      <c r="C101" s="74">
        <v>2</v>
      </c>
      <c r="D101" s="18">
        <f>E100</f>
        <v>6968.2643904304632</v>
      </c>
      <c r="E101" s="18">
        <f>C101*D101</f>
        <v>13936.528780860926</v>
      </c>
    </row>
    <row r="102" spans="1:7" ht="11.25" customHeight="1" thickBot="1" x14ac:dyDescent="0.25">
      <c r="D102" s="98" t="s">
        <v>174</v>
      </c>
      <c r="E102" s="45">
        <v>1</v>
      </c>
      <c r="F102" s="99">
        <f>E101*E102</f>
        <v>13936.528780860926</v>
      </c>
      <c r="G102" s="9"/>
    </row>
    <row r="103" spans="1:7" x14ac:dyDescent="0.2">
      <c r="G103" s="9"/>
    </row>
    <row r="104" spans="1:7" ht="13.5" thickBot="1" x14ac:dyDescent="0.25">
      <c r="A104" s="7" t="s">
        <v>240</v>
      </c>
      <c r="B104" s="81"/>
      <c r="D104" s="9"/>
      <c r="E104" s="9"/>
      <c r="G104" s="9"/>
    </row>
    <row r="105" spans="1:7" ht="13.5" thickBot="1" x14ac:dyDescent="0.25">
      <c r="A105" s="51" t="s">
        <v>53</v>
      </c>
      <c r="B105" s="52" t="s">
        <v>54</v>
      </c>
      <c r="C105" s="52" t="s">
        <v>33</v>
      </c>
      <c r="D105" s="53" t="s">
        <v>212</v>
      </c>
      <c r="E105" s="53" t="s">
        <v>55</v>
      </c>
      <c r="F105" s="54" t="s">
        <v>56</v>
      </c>
      <c r="G105" s="9"/>
    </row>
    <row r="106" spans="1:7" x14ac:dyDescent="0.2">
      <c r="A106" s="16" t="s">
        <v>78</v>
      </c>
      <c r="B106" s="17" t="s">
        <v>26</v>
      </c>
      <c r="C106" s="82">
        <v>2</v>
      </c>
      <c r="D106" s="80">
        <v>3.75</v>
      </c>
      <c r="E106" s="18">
        <f>D106*C106</f>
        <v>7.5</v>
      </c>
      <c r="G106" s="9"/>
    </row>
    <row r="107" spans="1:7" x14ac:dyDescent="0.2">
      <c r="A107" s="16" t="s">
        <v>79</v>
      </c>
      <c r="B107" s="17" t="s">
        <v>80</v>
      </c>
      <c r="C107" s="79">
        <v>26</v>
      </c>
      <c r="D107" s="18"/>
      <c r="E107" s="18"/>
      <c r="G107" s="9"/>
    </row>
    <row r="108" spans="1:7" x14ac:dyDescent="0.2">
      <c r="A108" s="239" t="s">
        <v>259</v>
      </c>
      <c r="B108" s="17" t="s">
        <v>8</v>
      </c>
      <c r="C108" s="34">
        <v>0</v>
      </c>
      <c r="D108" s="15">
        <v>2.34</v>
      </c>
      <c r="E108" s="18">
        <f>IFERROR(C108*D108,"-")</f>
        <v>0</v>
      </c>
      <c r="G108" s="9"/>
    </row>
    <row r="109" spans="1:7" ht="13.5" thickBot="1" x14ac:dyDescent="0.25">
      <c r="A109" s="240" t="s">
        <v>276</v>
      </c>
      <c r="B109" s="14" t="s">
        <v>8</v>
      </c>
      <c r="C109" s="34">
        <f>C101*C107*C106</f>
        <v>104</v>
      </c>
      <c r="D109" s="15">
        <v>1.71</v>
      </c>
      <c r="E109" s="15">
        <f>IFERROR(C109*D109,"-")</f>
        <v>177.84</v>
      </c>
      <c r="G109" s="9"/>
    </row>
    <row r="110" spans="1:7" ht="11.25" customHeight="1" thickBot="1" x14ac:dyDescent="0.25">
      <c r="F110" s="22">
        <f>SUM(E108:E109)</f>
        <v>177.84</v>
      </c>
      <c r="G110" s="9"/>
    </row>
    <row r="111" spans="1:7" x14ac:dyDescent="0.2">
      <c r="G111" s="9"/>
    </row>
    <row r="112" spans="1:7" ht="13.5" thickBot="1" x14ac:dyDescent="0.25">
      <c r="A112" s="7" t="s">
        <v>241</v>
      </c>
      <c r="F112" s="23"/>
      <c r="G112" s="9"/>
    </row>
    <row r="113" spans="1:7" ht="13.5" thickBot="1" x14ac:dyDescent="0.25">
      <c r="A113" s="51" t="s">
        <v>53</v>
      </c>
      <c r="B113" s="52" t="s">
        <v>54</v>
      </c>
      <c r="C113" s="52" t="s">
        <v>33</v>
      </c>
      <c r="D113" s="53" t="s">
        <v>212</v>
      </c>
      <c r="E113" s="53" t="s">
        <v>55</v>
      </c>
      <c r="F113" s="54" t="s">
        <v>56</v>
      </c>
      <c r="G113" s="9"/>
    </row>
    <row r="114" spans="1:7" x14ac:dyDescent="0.2">
      <c r="A114" s="239" t="s">
        <v>239</v>
      </c>
      <c r="B114" s="17" t="s">
        <v>9</v>
      </c>
      <c r="C114" s="34">
        <v>0</v>
      </c>
      <c r="D114" s="77">
        <v>16</v>
      </c>
      <c r="E114" s="45">
        <f>C114*D114</f>
        <v>0</v>
      </c>
      <c r="F114" s="23"/>
      <c r="G114" s="9"/>
    </row>
    <row r="115" spans="1:7" ht="13.5" thickBot="1" x14ac:dyDescent="0.25">
      <c r="A115" s="239" t="s">
        <v>276</v>
      </c>
      <c r="B115" s="17" t="s">
        <v>9</v>
      </c>
      <c r="C115" s="34">
        <f>C101*C107</f>
        <v>52</v>
      </c>
      <c r="D115" s="77">
        <v>17.41</v>
      </c>
      <c r="E115" s="45">
        <f>C115*D115</f>
        <v>905.32</v>
      </c>
      <c r="F115" s="23"/>
      <c r="G115" s="9"/>
    </row>
    <row r="116" spans="1:7" ht="13.5" thickBot="1" x14ac:dyDescent="0.25">
      <c r="F116" s="22">
        <f>SUM(E114:E115)</f>
        <v>905.32</v>
      </c>
      <c r="G116" s="9"/>
    </row>
    <row r="117" spans="1:7" x14ac:dyDescent="0.2">
      <c r="G117" s="9"/>
    </row>
    <row r="118" spans="1:7" ht="13.5" thickBot="1" x14ac:dyDescent="0.25">
      <c r="A118" s="7" t="s">
        <v>242</v>
      </c>
      <c r="F118" s="23"/>
      <c r="G118" s="9"/>
    </row>
    <row r="119" spans="1:7" ht="13.5" thickBot="1" x14ac:dyDescent="0.25">
      <c r="A119" s="51" t="s">
        <v>53</v>
      </c>
      <c r="B119" s="52" t="s">
        <v>54</v>
      </c>
      <c r="C119" s="52" t="s">
        <v>33</v>
      </c>
      <c r="D119" s="53" t="s">
        <v>212</v>
      </c>
      <c r="E119" s="53" t="s">
        <v>55</v>
      </c>
      <c r="F119" s="54" t="s">
        <v>56</v>
      </c>
      <c r="G119" s="9"/>
    </row>
    <row r="120" spans="1:7" x14ac:dyDescent="0.2">
      <c r="A120" s="239" t="s">
        <v>239</v>
      </c>
      <c r="B120" s="17" t="s">
        <v>9</v>
      </c>
      <c r="C120" s="34"/>
      <c r="D120" s="77">
        <v>0</v>
      </c>
      <c r="E120" s="45">
        <f>C120*D120</f>
        <v>0</v>
      </c>
      <c r="F120" s="23"/>
      <c r="G120" s="9"/>
    </row>
    <row r="121" spans="1:7" ht="13.5" thickBot="1" x14ac:dyDescent="0.25">
      <c r="A121" s="16" t="str">
        <f>+A115</f>
        <v>Motorista</v>
      </c>
      <c r="B121" s="17" t="s">
        <v>9</v>
      </c>
      <c r="C121" s="34"/>
      <c r="D121" s="77">
        <v>0</v>
      </c>
      <c r="E121" s="45">
        <f>C121*D121</f>
        <v>0</v>
      </c>
      <c r="F121" s="23"/>
      <c r="G121" s="9"/>
    </row>
    <row r="122" spans="1:7" ht="13.5" thickBot="1" x14ac:dyDescent="0.25">
      <c r="D122" s="98" t="s">
        <v>174</v>
      </c>
      <c r="E122" s="45">
        <f>$B$58</f>
        <v>1</v>
      </c>
      <c r="F122" s="22">
        <f>SUM(E120:E121)*E122</f>
        <v>0</v>
      </c>
      <c r="G122" s="9"/>
    </row>
    <row r="123" spans="1:7" ht="13.5" thickBot="1" x14ac:dyDescent="0.25">
      <c r="G123" s="9"/>
    </row>
    <row r="124" spans="1:7" ht="13.5" thickBot="1" x14ac:dyDescent="0.25">
      <c r="A124" s="24" t="s">
        <v>81</v>
      </c>
      <c r="B124" s="25"/>
      <c r="C124" s="25"/>
      <c r="D124" s="26"/>
      <c r="E124" s="27"/>
      <c r="F124" s="22">
        <f>F122+F116+F110+F102+F88+F73</f>
        <v>15019.688780860926</v>
      </c>
    </row>
    <row r="125" spans="1:7" x14ac:dyDescent="0.2">
      <c r="G125" s="9"/>
    </row>
    <row r="126" spans="1:7" ht="11.25" customHeight="1" x14ac:dyDescent="0.2">
      <c r="A126" s="11" t="s">
        <v>37</v>
      </c>
      <c r="G126" s="9"/>
    </row>
    <row r="127" spans="1:7" ht="13.9" customHeight="1" x14ac:dyDescent="0.2">
      <c r="G127" s="9"/>
    </row>
    <row r="128" spans="1:7" ht="11.25" customHeight="1" x14ac:dyDescent="0.2">
      <c r="A128" s="9" t="s">
        <v>176</v>
      </c>
      <c r="G128" s="9"/>
    </row>
    <row r="129" spans="1:7" ht="13.5" thickBot="1" x14ac:dyDescent="0.25">
      <c r="G129" s="9"/>
    </row>
    <row r="130" spans="1:7" ht="24.75" thickBot="1" x14ac:dyDescent="0.25">
      <c r="A130" s="51" t="s">
        <v>53</v>
      </c>
      <c r="B130" s="52" t="s">
        <v>54</v>
      </c>
      <c r="C130" s="227" t="s">
        <v>229</v>
      </c>
      <c r="D130" s="53" t="s">
        <v>212</v>
      </c>
      <c r="E130" s="53" t="s">
        <v>55</v>
      </c>
      <c r="F130" s="54" t="s">
        <v>56</v>
      </c>
      <c r="G130" s="9"/>
    </row>
    <row r="131" spans="1:7" ht="13.15" customHeight="1" x14ac:dyDescent="0.2">
      <c r="A131" s="13" t="s">
        <v>57</v>
      </c>
      <c r="B131" s="14" t="s">
        <v>9</v>
      </c>
      <c r="C131" s="261">
        <v>12</v>
      </c>
      <c r="D131" s="75">
        <v>46</v>
      </c>
      <c r="E131" s="15">
        <f>IFERROR(D131/C131,0)</f>
        <v>3.8333333333333335</v>
      </c>
      <c r="G131" s="9"/>
    </row>
    <row r="132" spans="1:7" x14ac:dyDescent="0.2">
      <c r="A132" s="16" t="s">
        <v>22</v>
      </c>
      <c r="B132" s="17" t="s">
        <v>9</v>
      </c>
      <c r="C132" s="261">
        <v>1</v>
      </c>
      <c r="D132" s="75">
        <v>32</v>
      </c>
      <c r="E132" s="15">
        <f t="shared" ref="E132:E140" si="1">IFERROR(D132/C132,0)</f>
        <v>32</v>
      </c>
      <c r="G132" s="9"/>
    </row>
    <row r="133" spans="1:7" ht="13.15" customHeight="1" x14ac:dyDescent="0.2">
      <c r="A133" s="16" t="s">
        <v>23</v>
      </c>
      <c r="B133" s="17" t="s">
        <v>9</v>
      </c>
      <c r="C133" s="261">
        <v>1</v>
      </c>
      <c r="D133" s="75">
        <v>26</v>
      </c>
      <c r="E133" s="15">
        <f t="shared" si="1"/>
        <v>26</v>
      </c>
      <c r="G133" s="9"/>
    </row>
    <row r="134" spans="1:7" ht="13.9" customHeight="1" x14ac:dyDescent="0.2">
      <c r="A134" s="16" t="s">
        <v>24</v>
      </c>
      <c r="B134" s="17" t="s">
        <v>9</v>
      </c>
      <c r="C134" s="261">
        <v>6</v>
      </c>
      <c r="D134" s="75">
        <v>9</v>
      </c>
      <c r="E134" s="15">
        <f t="shared" si="1"/>
        <v>1.5</v>
      </c>
      <c r="G134" s="9"/>
    </row>
    <row r="135" spans="1:7" ht="13.15" customHeight="1" x14ac:dyDescent="0.2">
      <c r="A135" s="239" t="s">
        <v>254</v>
      </c>
      <c r="B135" s="17" t="s">
        <v>40</v>
      </c>
      <c r="C135" s="261">
        <v>4</v>
      </c>
      <c r="D135" s="75">
        <v>28</v>
      </c>
      <c r="E135" s="15">
        <f t="shared" si="1"/>
        <v>7</v>
      </c>
    </row>
    <row r="136" spans="1:7" x14ac:dyDescent="0.2">
      <c r="A136" s="16" t="s">
        <v>82</v>
      </c>
      <c r="B136" s="17" t="s">
        <v>40</v>
      </c>
      <c r="C136" s="261">
        <v>3</v>
      </c>
      <c r="D136" s="75">
        <v>6</v>
      </c>
      <c r="E136" s="15">
        <f t="shared" si="1"/>
        <v>2</v>
      </c>
    </row>
    <row r="137" spans="1:7" s="1" customFormat="1" x14ac:dyDescent="0.2">
      <c r="A137" s="16" t="s">
        <v>58</v>
      </c>
      <c r="B137" s="17" t="s">
        <v>9</v>
      </c>
      <c r="C137" s="261">
        <v>3</v>
      </c>
      <c r="D137" s="75">
        <v>32.5</v>
      </c>
      <c r="E137" s="15">
        <f t="shared" si="1"/>
        <v>10.833333333333334</v>
      </c>
      <c r="F137" s="10"/>
      <c r="G137" s="35"/>
    </row>
    <row r="138" spans="1:7" x14ac:dyDescent="0.2">
      <c r="A138" s="2" t="s">
        <v>10</v>
      </c>
      <c r="B138" s="3" t="s">
        <v>9</v>
      </c>
      <c r="C138" s="261">
        <v>4</v>
      </c>
      <c r="D138" s="75">
        <v>14</v>
      </c>
      <c r="E138" s="15">
        <f t="shared" si="1"/>
        <v>3.5</v>
      </c>
      <c r="F138" s="35"/>
    </row>
    <row r="139" spans="1:7" ht="13.15" customHeight="1" x14ac:dyDescent="0.2">
      <c r="A139" s="16" t="s">
        <v>25</v>
      </c>
      <c r="B139" s="17" t="s">
        <v>40</v>
      </c>
      <c r="C139" s="85">
        <v>0.25</v>
      </c>
      <c r="D139" s="75">
        <v>28</v>
      </c>
      <c r="E139" s="15">
        <f t="shared" si="1"/>
        <v>112</v>
      </c>
    </row>
    <row r="140" spans="1:7" x14ac:dyDescent="0.2">
      <c r="A140" s="16" t="s">
        <v>52</v>
      </c>
      <c r="B140" s="17" t="s">
        <v>41</v>
      </c>
      <c r="C140" s="261">
        <v>1</v>
      </c>
      <c r="D140" s="75">
        <v>20.5</v>
      </c>
      <c r="E140" s="15">
        <f t="shared" si="1"/>
        <v>20.5</v>
      </c>
    </row>
    <row r="141" spans="1:7" x14ac:dyDescent="0.2">
      <c r="A141" s="239" t="s">
        <v>255</v>
      </c>
      <c r="B141" s="255" t="s">
        <v>253</v>
      </c>
      <c r="C141" s="261">
        <v>1</v>
      </c>
      <c r="D141" s="75">
        <v>60</v>
      </c>
      <c r="E141" s="15">
        <f>IFERROR(D141/C141,0)</f>
        <v>60</v>
      </c>
    </row>
    <row r="142" spans="1:7" ht="13.5" thickBot="1" x14ac:dyDescent="0.25">
      <c r="A142" s="16" t="s">
        <v>5</v>
      </c>
      <c r="B142" s="17" t="s">
        <v>6</v>
      </c>
      <c r="C142" s="60">
        <v>2</v>
      </c>
      <c r="D142" s="18">
        <f>+SUM(E131:E141)</f>
        <v>279.16666666666669</v>
      </c>
      <c r="E142" s="18">
        <f>C142*D142</f>
        <v>558.33333333333337</v>
      </c>
    </row>
    <row r="143" spans="1:7" ht="11.25" customHeight="1" thickBot="1" x14ac:dyDescent="0.25">
      <c r="D143" s="98" t="s">
        <v>174</v>
      </c>
      <c r="E143" s="45">
        <v>1</v>
      </c>
      <c r="F143" s="99">
        <f>E142*E143</f>
        <v>558.33333333333337</v>
      </c>
    </row>
    <row r="144" spans="1:7" ht="13.9" customHeight="1" x14ac:dyDescent="0.2"/>
    <row r="145" spans="1:7" ht="11.25" customHeight="1" x14ac:dyDescent="0.2">
      <c r="A145" s="7" t="s">
        <v>277</v>
      </c>
    </row>
    <row r="146" spans="1:7" ht="13.5" thickBot="1" x14ac:dyDescent="0.25"/>
    <row r="147" spans="1:7" ht="24.75" thickBot="1" x14ac:dyDescent="0.25">
      <c r="A147" s="51" t="s">
        <v>53</v>
      </c>
      <c r="B147" s="52" t="s">
        <v>54</v>
      </c>
      <c r="C147" s="227" t="s">
        <v>229</v>
      </c>
      <c r="D147" s="53" t="s">
        <v>212</v>
      </c>
      <c r="E147" s="53" t="s">
        <v>55</v>
      </c>
      <c r="F147" s="54" t="s">
        <v>56</v>
      </c>
    </row>
    <row r="148" spans="1:7" x14ac:dyDescent="0.2">
      <c r="A148" s="13" t="s">
        <v>57</v>
      </c>
      <c r="B148" s="14" t="s">
        <v>9</v>
      </c>
      <c r="C148" s="85">
        <v>12</v>
      </c>
      <c r="D148" s="15">
        <f>+D131</f>
        <v>46</v>
      </c>
      <c r="E148" s="15">
        <f>IFERROR(D148/C148,0)</f>
        <v>3.8333333333333335</v>
      </c>
    </row>
    <row r="149" spans="1:7" x14ac:dyDescent="0.2">
      <c r="A149" s="16" t="s">
        <v>22</v>
      </c>
      <c r="B149" s="17" t="s">
        <v>9</v>
      </c>
      <c r="C149" s="85">
        <v>4</v>
      </c>
      <c r="D149" s="18">
        <f>+D132</f>
        <v>32</v>
      </c>
      <c r="E149" s="15">
        <f t="shared" ref="E149:E154" si="2">IFERROR(D149/C149,0)</f>
        <v>8</v>
      </c>
    </row>
    <row r="150" spans="1:7" x14ac:dyDescent="0.2">
      <c r="A150" s="16" t="s">
        <v>23</v>
      </c>
      <c r="B150" s="17" t="s">
        <v>9</v>
      </c>
      <c r="C150" s="85">
        <v>2</v>
      </c>
      <c r="D150" s="18">
        <f>+D133</f>
        <v>26</v>
      </c>
      <c r="E150" s="15">
        <f t="shared" si="2"/>
        <v>13</v>
      </c>
    </row>
    <row r="151" spans="1:7" x14ac:dyDescent="0.2">
      <c r="A151" s="239" t="s">
        <v>235</v>
      </c>
      <c r="B151" s="17" t="s">
        <v>40</v>
      </c>
      <c r="C151" s="85">
        <v>4</v>
      </c>
      <c r="D151" s="18">
        <f>+D135</f>
        <v>28</v>
      </c>
      <c r="E151" s="15">
        <f t="shared" si="2"/>
        <v>7</v>
      </c>
      <c r="G151" s="9"/>
    </row>
    <row r="152" spans="1:7" x14ac:dyDescent="0.2">
      <c r="A152" s="16" t="s">
        <v>58</v>
      </c>
      <c r="B152" s="17" t="s">
        <v>9</v>
      </c>
      <c r="C152" s="85">
        <v>4</v>
      </c>
      <c r="D152" s="18">
        <f>+D137</f>
        <v>32.5</v>
      </c>
      <c r="E152" s="15">
        <f t="shared" si="2"/>
        <v>8.125</v>
      </c>
      <c r="G152" s="9"/>
    </row>
    <row r="153" spans="1:7" ht="13.15" customHeight="1" x14ac:dyDescent="0.2">
      <c r="A153" s="16" t="s">
        <v>25</v>
      </c>
      <c r="B153" s="17" t="s">
        <v>40</v>
      </c>
      <c r="C153" s="85">
        <v>0.25</v>
      </c>
      <c r="D153" s="75">
        <v>28</v>
      </c>
      <c r="E153" s="15">
        <f t="shared" si="2"/>
        <v>112</v>
      </c>
    </row>
    <row r="154" spans="1:7" x14ac:dyDescent="0.2">
      <c r="A154" s="16" t="s">
        <v>52</v>
      </c>
      <c r="B154" s="17" t="s">
        <v>41</v>
      </c>
      <c r="C154" s="85">
        <v>2</v>
      </c>
      <c r="D154" s="18">
        <v>20.5</v>
      </c>
      <c r="E154" s="15">
        <f t="shared" si="2"/>
        <v>10.25</v>
      </c>
      <c r="G154" s="9"/>
    </row>
    <row r="155" spans="1:7" x14ac:dyDescent="0.2">
      <c r="A155" s="239" t="s">
        <v>252</v>
      </c>
      <c r="B155" s="255" t="s">
        <v>253</v>
      </c>
      <c r="C155" s="85">
        <v>1</v>
      </c>
      <c r="D155" s="18">
        <v>60</v>
      </c>
      <c r="E155" s="15">
        <v>60</v>
      </c>
      <c r="G155" s="9"/>
    </row>
    <row r="156" spans="1:7" ht="13.5" thickBot="1" x14ac:dyDescent="0.25">
      <c r="A156" s="16" t="s">
        <v>5</v>
      </c>
      <c r="B156" s="17" t="s">
        <v>6</v>
      </c>
      <c r="C156" s="60">
        <v>2</v>
      </c>
      <c r="D156" s="18">
        <f>+SUM(E148:E155)</f>
        <v>222.20833333333334</v>
      </c>
      <c r="E156" s="18">
        <f t="shared" ref="E156" si="3">C156*D156</f>
        <v>444.41666666666669</v>
      </c>
      <c r="G156" s="9"/>
    </row>
    <row r="157" spans="1:7" ht="11.25" customHeight="1" thickBot="1" x14ac:dyDescent="0.25">
      <c r="D157" s="98" t="s">
        <v>174</v>
      </c>
      <c r="E157" s="45">
        <v>1</v>
      </c>
      <c r="F157" s="99">
        <f>E156*E157</f>
        <v>444.41666666666669</v>
      </c>
      <c r="G157" s="9"/>
    </row>
    <row r="158" spans="1:7" ht="13.5" thickBot="1" x14ac:dyDescent="0.25">
      <c r="G158" s="9"/>
    </row>
    <row r="159" spans="1:7" ht="11.25" customHeight="1" thickBot="1" x14ac:dyDescent="0.25">
      <c r="A159" s="24" t="s">
        <v>177</v>
      </c>
      <c r="B159" s="28"/>
      <c r="C159" s="28"/>
      <c r="D159" s="29"/>
      <c r="E159" s="30"/>
      <c r="F159" s="21">
        <f>+F143+F157</f>
        <v>1002.75</v>
      </c>
      <c r="G159" s="9"/>
    </row>
    <row r="160" spans="1:7" x14ac:dyDescent="0.2">
      <c r="G160" s="9"/>
    </row>
    <row r="161" spans="1:10" ht="11.25" customHeight="1" x14ac:dyDescent="0.2">
      <c r="A161" s="11" t="s">
        <v>45</v>
      </c>
      <c r="G161" s="9"/>
    </row>
    <row r="162" spans="1:10" x14ac:dyDescent="0.2">
      <c r="B162" s="89"/>
      <c r="G162" s="9"/>
    </row>
    <row r="163" spans="1:10" ht="11.25" customHeight="1" x14ac:dyDescent="0.2">
      <c r="A163" s="7" t="s">
        <v>260</v>
      </c>
      <c r="G163" s="9"/>
    </row>
    <row r="164" spans="1:10" x14ac:dyDescent="0.2">
      <c r="G164" s="9"/>
    </row>
    <row r="165" spans="1:10" ht="13.5" thickBot="1" x14ac:dyDescent="0.25">
      <c r="A165" s="89" t="s">
        <v>38</v>
      </c>
      <c r="G165" s="9"/>
    </row>
    <row r="166" spans="1:10" ht="13.5" thickBot="1" x14ac:dyDescent="0.25">
      <c r="A166" s="51" t="s">
        <v>53</v>
      </c>
      <c r="B166" s="52" t="s">
        <v>54</v>
      </c>
      <c r="C166" s="52" t="s">
        <v>33</v>
      </c>
      <c r="D166" s="53" t="s">
        <v>212</v>
      </c>
      <c r="E166" s="53" t="s">
        <v>55</v>
      </c>
      <c r="F166" s="54" t="s">
        <v>56</v>
      </c>
      <c r="G166" s="9"/>
    </row>
    <row r="167" spans="1:10" x14ac:dyDescent="0.2">
      <c r="A167" s="240" t="s">
        <v>261</v>
      </c>
      <c r="B167" s="14" t="s">
        <v>9</v>
      </c>
      <c r="C167" s="14">
        <v>2</v>
      </c>
      <c r="D167" s="75">
        <v>395500</v>
      </c>
      <c r="E167" s="15">
        <f>C167*D167</f>
        <v>791000</v>
      </c>
      <c r="G167" s="9"/>
    </row>
    <row r="168" spans="1:10" x14ac:dyDescent="0.2">
      <c r="A168" s="16" t="s">
        <v>85</v>
      </c>
      <c r="B168" s="17" t="s">
        <v>86</v>
      </c>
      <c r="C168" s="74">
        <v>10</v>
      </c>
      <c r="D168" s="18"/>
      <c r="E168" s="18"/>
      <c r="I168" s="73"/>
      <c r="J168" s="73"/>
    </row>
    <row r="169" spans="1:10" x14ac:dyDescent="0.2">
      <c r="A169" s="16" t="s">
        <v>189</v>
      </c>
      <c r="B169" s="17" t="s">
        <v>86</v>
      </c>
      <c r="C169" s="74">
        <v>5</v>
      </c>
      <c r="D169" s="18"/>
      <c r="E169" s="18"/>
      <c r="F169" s="20"/>
    </row>
    <row r="170" spans="1:10" x14ac:dyDescent="0.2">
      <c r="A170" s="16" t="s">
        <v>87</v>
      </c>
      <c r="B170" s="17" t="s">
        <v>2</v>
      </c>
      <c r="C170" s="113">
        <f>IFERROR(VLOOKUP(C168,'5. Depreciação'!A3:B17,2,FALSE),0)</f>
        <v>65.180000000000007</v>
      </c>
      <c r="D170" s="18">
        <f>E167</f>
        <v>791000</v>
      </c>
      <c r="E170" s="18">
        <f>C170*D170/100</f>
        <v>515573.80000000005</v>
      </c>
    </row>
    <row r="171" spans="1:10" ht="13.5" thickBot="1" x14ac:dyDescent="0.25">
      <c r="A171" s="236" t="s">
        <v>283</v>
      </c>
      <c r="B171" s="237" t="s">
        <v>7</v>
      </c>
      <c r="C171" s="237">
        <f>C168*12</f>
        <v>120</v>
      </c>
      <c r="D171" s="238">
        <f>IF(C169&lt;=C168,E170,0)</f>
        <v>515573.80000000005</v>
      </c>
      <c r="E171" s="238">
        <f>IFERROR(D171/C171,0)</f>
        <v>4296.4483333333337</v>
      </c>
      <c r="G171" s="9"/>
    </row>
    <row r="172" spans="1:10" ht="13.5" thickTop="1" x14ac:dyDescent="0.2">
      <c r="A172" s="240" t="s">
        <v>269</v>
      </c>
      <c r="B172" s="14" t="s">
        <v>9</v>
      </c>
      <c r="C172" s="14">
        <f>C167</f>
        <v>2</v>
      </c>
      <c r="D172" s="75">
        <v>150000</v>
      </c>
      <c r="E172" s="15">
        <f>C172*D172</f>
        <v>300000</v>
      </c>
    </row>
    <row r="173" spans="1:10" x14ac:dyDescent="0.2">
      <c r="A173" s="239" t="s">
        <v>270</v>
      </c>
      <c r="B173" s="17" t="s">
        <v>86</v>
      </c>
      <c r="C173" s="74">
        <v>10</v>
      </c>
      <c r="D173" s="18"/>
      <c r="E173" s="18"/>
      <c r="I173" s="73"/>
      <c r="J173" s="73"/>
    </row>
    <row r="174" spans="1:10" x14ac:dyDescent="0.2">
      <c r="A174" s="239" t="s">
        <v>271</v>
      </c>
      <c r="B174" s="17" t="s">
        <v>86</v>
      </c>
      <c r="C174" s="74">
        <v>5</v>
      </c>
      <c r="D174" s="18"/>
      <c r="E174" s="18"/>
      <c r="F174" s="20"/>
    </row>
    <row r="175" spans="1:10" x14ac:dyDescent="0.2">
      <c r="A175" s="239" t="s">
        <v>285</v>
      </c>
      <c r="B175" s="17" t="s">
        <v>2</v>
      </c>
      <c r="C175" s="114">
        <f>IFERROR(VLOOKUP(C173,'5. Depreciação'!A3:B17,2,FALSE),0)</f>
        <v>65.180000000000007</v>
      </c>
      <c r="D175" s="18">
        <v>150000</v>
      </c>
      <c r="E175" s="18">
        <f>C175*D175/100</f>
        <v>97770.000000000015</v>
      </c>
    </row>
    <row r="176" spans="1:10" x14ac:dyDescent="0.2">
      <c r="A176" s="86" t="s">
        <v>284</v>
      </c>
      <c r="B176" s="87" t="s">
        <v>7</v>
      </c>
      <c r="C176" s="87">
        <v>120</v>
      </c>
      <c r="D176" s="88">
        <f>IF(C174&lt;=C173,E175,0)</f>
        <v>97770.000000000015</v>
      </c>
      <c r="E176" s="88">
        <f>IFERROR(D176/C176*1.1,0)</f>
        <v>896.22500000000025</v>
      </c>
    </row>
    <row r="177" spans="1:10" x14ac:dyDescent="0.2">
      <c r="A177" s="94" t="s">
        <v>232</v>
      </c>
      <c r="B177" s="95"/>
      <c r="C177" s="95"/>
      <c r="D177" s="31"/>
      <c r="E177" s="96">
        <f>E171+E176</f>
        <v>5192.6733333333341</v>
      </c>
    </row>
    <row r="178" spans="1:10" ht="13.5" thickBot="1" x14ac:dyDescent="0.25">
      <c r="A178" s="86" t="s">
        <v>233</v>
      </c>
      <c r="B178" s="87" t="s">
        <v>9</v>
      </c>
      <c r="C178" s="74">
        <v>2</v>
      </c>
      <c r="D178" s="88">
        <f>E177</f>
        <v>5192.6733333333341</v>
      </c>
      <c r="E178" s="96">
        <f>C178*D178</f>
        <v>10385.346666666668</v>
      </c>
    </row>
    <row r="179" spans="1:10" ht="11.25" customHeight="1" thickBot="1" x14ac:dyDescent="0.25">
      <c r="A179" s="231"/>
      <c r="B179" s="231"/>
      <c r="C179" s="231"/>
      <c r="D179" s="98" t="s">
        <v>174</v>
      </c>
      <c r="E179" s="45">
        <v>1</v>
      </c>
      <c r="F179" s="21">
        <f>E178*E179</f>
        <v>10385.346666666668</v>
      </c>
    </row>
    <row r="181" spans="1:10" ht="13.5" thickBot="1" x14ac:dyDescent="0.25">
      <c r="A181" s="89" t="s">
        <v>91</v>
      </c>
      <c r="I181" s="73"/>
      <c r="J181" s="73"/>
    </row>
    <row r="182" spans="1:10" ht="13.5" thickBot="1" x14ac:dyDescent="0.25">
      <c r="A182" s="263" t="s">
        <v>53</v>
      </c>
      <c r="B182" s="263" t="s">
        <v>54</v>
      </c>
      <c r="C182" s="263" t="s">
        <v>33</v>
      </c>
      <c r="D182" s="264" t="s">
        <v>212</v>
      </c>
      <c r="E182" s="264" t="s">
        <v>55</v>
      </c>
      <c r="F182" s="54" t="s">
        <v>56</v>
      </c>
      <c r="I182" s="73"/>
      <c r="J182" s="73"/>
    </row>
    <row r="183" spans="1:10" x14ac:dyDescent="0.2">
      <c r="A183" s="13" t="s">
        <v>90</v>
      </c>
      <c r="B183" s="14" t="s">
        <v>9</v>
      </c>
      <c r="C183" s="14">
        <v>1</v>
      </c>
      <c r="D183" s="15">
        <v>395500</v>
      </c>
      <c r="E183" s="15">
        <f>C183*D183</f>
        <v>395500</v>
      </c>
      <c r="F183" s="20"/>
      <c r="I183" s="73"/>
      <c r="J183" s="73"/>
    </row>
    <row r="184" spans="1:10" x14ac:dyDescent="0.2">
      <c r="A184" s="16" t="s">
        <v>191</v>
      </c>
      <c r="B184" s="17" t="s">
        <v>2</v>
      </c>
      <c r="C184" s="74">
        <v>6.5</v>
      </c>
      <c r="D184" s="18"/>
      <c r="E184" s="18"/>
      <c r="F184" s="20"/>
      <c r="I184" s="73"/>
      <c r="J184" s="73"/>
    </row>
    <row r="185" spans="1:10" x14ac:dyDescent="0.2">
      <c r="A185" s="16" t="s">
        <v>190</v>
      </c>
      <c r="B185" s="17" t="s">
        <v>26</v>
      </c>
      <c r="C185" s="119">
        <f>D183</f>
        <v>395500</v>
      </c>
      <c r="D185" s="18"/>
      <c r="E185" s="18"/>
      <c r="F185" s="20"/>
      <c r="I185" s="73"/>
      <c r="J185" s="73"/>
    </row>
    <row r="186" spans="1:10" x14ac:dyDescent="0.2">
      <c r="A186" s="16" t="s">
        <v>93</v>
      </c>
      <c r="B186" s="17" t="s">
        <v>26</v>
      </c>
      <c r="C186" s="18">
        <f>IFERROR(IF(C169&gt;=C168,C185,((((C185)-(E167-E170))*(((C168-C169)+1)/(2*(C168-C169))))+(E167-E170))),0)</f>
        <v>347470.48</v>
      </c>
      <c r="D186" s="18"/>
      <c r="E186" s="18"/>
      <c r="F186" s="20"/>
      <c r="I186" s="73"/>
      <c r="J186" s="73"/>
    </row>
    <row r="187" spans="1:10" ht="13.5" thickBot="1" x14ac:dyDescent="0.25">
      <c r="A187" s="236" t="s">
        <v>94</v>
      </c>
      <c r="B187" s="237" t="s">
        <v>26</v>
      </c>
      <c r="C187" s="237"/>
      <c r="D187" s="238">
        <f>C184*C186/12/100</f>
        <v>1882.1317666666666</v>
      </c>
      <c r="E187" s="238">
        <f>D187</f>
        <v>1882.1317666666666</v>
      </c>
      <c r="F187" s="20"/>
      <c r="I187" s="73"/>
      <c r="J187" s="73"/>
    </row>
    <row r="188" spans="1:10" ht="13.5" thickTop="1" x14ac:dyDescent="0.2">
      <c r="A188" s="240" t="s">
        <v>266</v>
      </c>
      <c r="B188" s="14" t="s">
        <v>9</v>
      </c>
      <c r="C188" s="14">
        <f>C172</f>
        <v>2</v>
      </c>
      <c r="D188" s="15">
        <v>150000</v>
      </c>
      <c r="E188" s="15">
        <f>C188*D188</f>
        <v>300000</v>
      </c>
      <c r="F188" s="20"/>
      <c r="I188" s="73"/>
      <c r="J188" s="73"/>
    </row>
    <row r="189" spans="1:10" x14ac:dyDescent="0.2">
      <c r="A189" s="16" t="s">
        <v>191</v>
      </c>
      <c r="B189" s="17" t="s">
        <v>2</v>
      </c>
      <c r="C189" s="17">
        <f>C184</f>
        <v>6.5</v>
      </c>
      <c r="D189" s="18"/>
      <c r="E189" s="18"/>
      <c r="F189" s="20"/>
      <c r="I189" s="73"/>
      <c r="J189" s="73"/>
    </row>
    <row r="190" spans="1:10" x14ac:dyDescent="0.2">
      <c r="A190" s="239" t="s">
        <v>267</v>
      </c>
      <c r="B190" s="17" t="s">
        <v>26</v>
      </c>
      <c r="C190" s="119">
        <v>150000</v>
      </c>
      <c r="D190" s="18"/>
      <c r="E190" s="18"/>
      <c r="F190" s="20"/>
      <c r="I190" s="73"/>
      <c r="J190" s="73"/>
    </row>
    <row r="191" spans="1:10" x14ac:dyDescent="0.2">
      <c r="A191" s="239" t="s">
        <v>268</v>
      </c>
      <c r="B191" s="17" t="s">
        <v>26</v>
      </c>
      <c r="C191" s="18">
        <f>IFERROR(IF(C174&gt;=C173,C190,((((C190)-(E172-E175))*(((C173-C174)+1)/(2*(C173-C174))))+(E172-E175))),0)</f>
        <v>170892</v>
      </c>
      <c r="D191" s="18"/>
      <c r="E191" s="18"/>
      <c r="F191" s="20"/>
      <c r="I191" s="73"/>
      <c r="J191" s="73"/>
    </row>
    <row r="192" spans="1:10" x14ac:dyDescent="0.2">
      <c r="A192" s="86" t="s">
        <v>263</v>
      </c>
      <c r="B192" s="87"/>
      <c r="C192" s="87"/>
      <c r="D192" s="88">
        <f>C189*C191/12/100</f>
        <v>925.66499999999996</v>
      </c>
      <c r="E192" s="88">
        <f>D192</f>
        <v>925.66499999999996</v>
      </c>
      <c r="F192" s="20"/>
      <c r="I192" s="73"/>
      <c r="J192" s="73"/>
    </row>
    <row r="193" spans="1:10" x14ac:dyDescent="0.2">
      <c r="A193" s="94" t="s">
        <v>232</v>
      </c>
      <c r="B193" s="95"/>
      <c r="C193" s="95"/>
      <c r="D193" s="31"/>
      <c r="E193" s="96">
        <f>E187+E192</f>
        <v>2807.7967666666664</v>
      </c>
      <c r="F193" s="20"/>
      <c r="I193" s="73"/>
      <c r="J193" s="73"/>
    </row>
    <row r="194" spans="1:10" ht="13.5" thickBot="1" x14ac:dyDescent="0.25">
      <c r="A194" s="86" t="s">
        <v>233</v>
      </c>
      <c r="B194" s="87" t="s">
        <v>9</v>
      </c>
      <c r="C194" s="17">
        <f>C178</f>
        <v>2</v>
      </c>
      <c r="D194" s="88">
        <f>E193</f>
        <v>2807.7967666666664</v>
      </c>
      <c r="E194" s="96">
        <f>C194*D194</f>
        <v>5615.5935333333327</v>
      </c>
      <c r="F194" s="20"/>
      <c r="I194" s="73"/>
      <c r="J194" s="73"/>
    </row>
    <row r="195" spans="1:10" ht="11.25" customHeight="1" thickBot="1" x14ac:dyDescent="0.25">
      <c r="C195" s="19"/>
      <c r="D195" s="98" t="s">
        <v>174</v>
      </c>
      <c r="E195" s="45">
        <v>1</v>
      </c>
      <c r="F195" s="21">
        <f>E194*E195</f>
        <v>5615.5935333333327</v>
      </c>
      <c r="I195" s="73"/>
      <c r="J195" s="73"/>
    </row>
    <row r="196" spans="1:10" x14ac:dyDescent="0.2">
      <c r="I196" s="73"/>
      <c r="J196" s="73"/>
    </row>
    <row r="197" spans="1:10" ht="13.5" thickBot="1" x14ac:dyDescent="0.25">
      <c r="A197" s="9" t="s">
        <v>42</v>
      </c>
      <c r="I197" s="73"/>
      <c r="J197" s="73"/>
    </row>
    <row r="198" spans="1:10" ht="13.5" thickBot="1" x14ac:dyDescent="0.25">
      <c r="A198" s="51" t="s">
        <v>53</v>
      </c>
      <c r="B198" s="52" t="s">
        <v>54</v>
      </c>
      <c r="C198" s="52" t="s">
        <v>33</v>
      </c>
      <c r="D198" s="53" t="s">
        <v>212</v>
      </c>
      <c r="E198" s="53" t="s">
        <v>55</v>
      </c>
      <c r="F198" s="54" t="s">
        <v>56</v>
      </c>
      <c r="I198" s="73"/>
      <c r="J198" s="73"/>
    </row>
    <row r="199" spans="1:10" x14ac:dyDescent="0.2">
      <c r="A199" s="13" t="s">
        <v>11</v>
      </c>
      <c r="B199" s="14" t="s">
        <v>9</v>
      </c>
      <c r="C199" s="15">
        <v>2</v>
      </c>
      <c r="D199" s="15">
        <f>0.03*D167</f>
        <v>11865</v>
      </c>
      <c r="E199" s="15">
        <f>C199*D199</f>
        <v>23730</v>
      </c>
      <c r="I199" s="73"/>
      <c r="J199" s="73"/>
    </row>
    <row r="200" spans="1:10" x14ac:dyDescent="0.2">
      <c r="A200" s="16" t="s">
        <v>173</v>
      </c>
      <c r="B200" s="17" t="s">
        <v>9</v>
      </c>
      <c r="C200" s="15">
        <v>2</v>
      </c>
      <c r="D200" s="77">
        <v>205</v>
      </c>
      <c r="E200" s="18">
        <f>C200*D200</f>
        <v>410</v>
      </c>
      <c r="I200" s="73"/>
      <c r="J200" s="73"/>
    </row>
    <row r="201" spans="1:10" x14ac:dyDescent="0.2">
      <c r="A201" s="16" t="s">
        <v>12</v>
      </c>
      <c r="B201" s="17" t="s">
        <v>9</v>
      </c>
      <c r="C201" s="15">
        <v>2</v>
      </c>
      <c r="D201" s="77">
        <v>4650</v>
      </c>
      <c r="E201" s="18">
        <f>C201*D201</f>
        <v>9300</v>
      </c>
      <c r="F201" s="31"/>
      <c r="I201" s="73"/>
      <c r="J201" s="73"/>
    </row>
    <row r="202" spans="1:10" ht="13.5" thickBot="1" x14ac:dyDescent="0.25">
      <c r="A202" s="86" t="s">
        <v>13</v>
      </c>
      <c r="B202" s="87" t="s">
        <v>7</v>
      </c>
      <c r="C202" s="87">
        <v>12</v>
      </c>
      <c r="D202" s="88">
        <f>SUM(E199:E201)</f>
        <v>33440</v>
      </c>
      <c r="E202" s="88">
        <f>D202/C202</f>
        <v>2786.6666666666665</v>
      </c>
      <c r="I202" s="73"/>
      <c r="J202" s="73"/>
    </row>
    <row r="203" spans="1:10" ht="11.25" customHeight="1" thickBot="1" x14ac:dyDescent="0.25">
      <c r="D203" s="98" t="s">
        <v>174</v>
      </c>
      <c r="E203" s="45">
        <v>1</v>
      </c>
      <c r="F203" s="99">
        <f>E202*E203</f>
        <v>2786.6666666666665</v>
      </c>
      <c r="I203" s="73"/>
      <c r="J203" s="73"/>
    </row>
    <row r="204" spans="1:10" x14ac:dyDescent="0.2">
      <c r="I204" s="73"/>
      <c r="J204" s="73"/>
    </row>
    <row r="205" spans="1:10" x14ac:dyDescent="0.2">
      <c r="A205" s="9" t="s">
        <v>43</v>
      </c>
      <c r="B205" s="32"/>
      <c r="I205" s="73"/>
      <c r="J205" s="73"/>
    </row>
    <row r="206" spans="1:10" x14ac:dyDescent="0.2">
      <c r="B206" s="32"/>
      <c r="I206" s="73"/>
      <c r="J206" s="73"/>
    </row>
    <row r="207" spans="1:10" x14ac:dyDescent="0.2">
      <c r="A207" s="86" t="s">
        <v>96</v>
      </c>
      <c r="B207" s="91">
        <v>21128</v>
      </c>
      <c r="I207" s="73"/>
      <c r="J207" s="73"/>
    </row>
    <row r="208" spans="1:10" ht="13.5" thickBot="1" x14ac:dyDescent="0.25">
      <c r="B208" s="32"/>
      <c r="I208" s="73"/>
      <c r="J208" s="73"/>
    </row>
    <row r="209" spans="1:10" ht="13.5" thickBot="1" x14ac:dyDescent="0.25">
      <c r="A209" s="51" t="s">
        <v>53</v>
      </c>
      <c r="B209" s="52" t="s">
        <v>54</v>
      </c>
      <c r="C209" s="52" t="s">
        <v>231</v>
      </c>
      <c r="D209" s="53" t="s">
        <v>212</v>
      </c>
      <c r="E209" s="53" t="s">
        <v>55</v>
      </c>
      <c r="F209" s="54" t="s">
        <v>56</v>
      </c>
      <c r="G209" s="258"/>
      <c r="I209" s="73"/>
      <c r="J209" s="73"/>
    </row>
    <row r="210" spans="1:10" x14ac:dyDescent="0.2">
      <c r="A210" s="13" t="s">
        <v>14</v>
      </c>
      <c r="B210" s="14" t="s">
        <v>15</v>
      </c>
      <c r="C210" s="252">
        <v>1.9</v>
      </c>
      <c r="D210" s="253">
        <v>2.964</v>
      </c>
      <c r="E210" s="15"/>
      <c r="G210" s="258"/>
      <c r="I210" s="73"/>
      <c r="J210" s="73"/>
    </row>
    <row r="211" spans="1:10" x14ac:dyDescent="0.2">
      <c r="A211" s="16" t="s">
        <v>16</v>
      </c>
      <c r="B211" s="17" t="s">
        <v>17</v>
      </c>
      <c r="C211" s="82">
        <v>21128</v>
      </c>
      <c r="D211" s="230">
        <f>D210/C210</f>
        <v>1.56</v>
      </c>
      <c r="E211" s="18">
        <f>IFERROR(C211*D211,"-")</f>
        <v>32959.68</v>
      </c>
      <c r="G211" s="258"/>
      <c r="I211" s="73"/>
      <c r="J211" s="73"/>
    </row>
    <row r="212" spans="1:10" x14ac:dyDescent="0.2">
      <c r="A212" s="240" t="s">
        <v>279</v>
      </c>
      <c r="B212" s="14" t="s">
        <v>15</v>
      </c>
      <c r="C212" s="252">
        <v>33</v>
      </c>
      <c r="D212" s="253">
        <v>1.6</v>
      </c>
      <c r="E212" s="15"/>
      <c r="G212" s="258"/>
      <c r="I212" s="73"/>
      <c r="J212" s="73"/>
    </row>
    <row r="213" spans="1:10" x14ac:dyDescent="0.2">
      <c r="A213" s="239" t="s">
        <v>278</v>
      </c>
      <c r="B213" s="17" t="s">
        <v>17</v>
      </c>
      <c r="C213" s="82">
        <v>21128</v>
      </c>
      <c r="D213" s="230">
        <f>D212/C212</f>
        <v>4.8484848484848485E-2</v>
      </c>
      <c r="E213" s="18">
        <f>IFERROR(C213*D213,"-")</f>
        <v>1024.3878787878789</v>
      </c>
      <c r="G213" s="258"/>
      <c r="I213" s="73"/>
      <c r="J213" s="73"/>
    </row>
    <row r="214" spans="1:10" x14ac:dyDescent="0.2">
      <c r="A214" s="16" t="s">
        <v>213</v>
      </c>
      <c r="B214" s="17" t="s">
        <v>18</v>
      </c>
      <c r="C214" s="241">
        <v>1.8</v>
      </c>
      <c r="D214" s="77">
        <v>11.2</v>
      </c>
      <c r="E214" s="18"/>
      <c r="G214" s="258"/>
      <c r="I214" s="73"/>
      <c r="J214" s="73"/>
    </row>
    <row r="215" spans="1:10" x14ac:dyDescent="0.2">
      <c r="A215" s="16" t="s">
        <v>19</v>
      </c>
      <c r="B215" s="17" t="s">
        <v>17</v>
      </c>
      <c r="C215" s="82">
        <f>C211</f>
        <v>21128</v>
      </c>
      <c r="D215" s="259">
        <f>C214*D214/1000</f>
        <v>2.0160000000000001E-2</v>
      </c>
      <c r="E215" s="18">
        <f>D215*C215</f>
        <v>425.94048000000004</v>
      </c>
      <c r="G215" s="258"/>
      <c r="I215" s="73"/>
      <c r="J215" s="73"/>
    </row>
    <row r="216" spans="1:10" x14ac:dyDescent="0.2">
      <c r="A216" s="239" t="s">
        <v>280</v>
      </c>
      <c r="B216" s="17" t="s">
        <v>18</v>
      </c>
      <c r="C216" s="241">
        <v>1.2</v>
      </c>
      <c r="D216" s="77">
        <v>14.6</v>
      </c>
      <c r="E216" s="18"/>
      <c r="G216" s="258"/>
      <c r="I216" s="73"/>
      <c r="J216" s="73"/>
    </row>
    <row r="217" spans="1:10" x14ac:dyDescent="0.2">
      <c r="A217" s="239" t="s">
        <v>281</v>
      </c>
      <c r="B217" s="17" t="s">
        <v>17</v>
      </c>
      <c r="C217" s="254">
        <v>6500</v>
      </c>
      <c r="D217" s="256">
        <f>C216*D216/1000</f>
        <v>1.7520000000000001E-2</v>
      </c>
      <c r="E217" s="18">
        <f>D217*C217</f>
        <v>113.88000000000001</v>
      </c>
      <c r="G217" s="258"/>
      <c r="I217" s="73"/>
      <c r="J217" s="73"/>
    </row>
    <row r="218" spans="1:10" x14ac:dyDescent="0.2">
      <c r="A218" s="16" t="s">
        <v>214</v>
      </c>
      <c r="B218" s="17" t="s">
        <v>18</v>
      </c>
      <c r="C218" s="241">
        <v>1.3</v>
      </c>
      <c r="D218" s="257">
        <v>12.7</v>
      </c>
      <c r="E218" s="18"/>
      <c r="G218" s="258"/>
      <c r="I218" s="73"/>
      <c r="J218" s="73"/>
    </row>
    <row r="219" spans="1:10" x14ac:dyDescent="0.2">
      <c r="A219" s="16" t="s">
        <v>20</v>
      </c>
      <c r="B219" s="17" t="s">
        <v>17</v>
      </c>
      <c r="C219" s="82">
        <f>C211</f>
        <v>21128</v>
      </c>
      <c r="D219" s="256">
        <f>C218*D218/1000</f>
        <v>1.6509999999999997E-2</v>
      </c>
      <c r="E219" s="18">
        <f>D219*C219</f>
        <v>348.82327999999995</v>
      </c>
      <c r="G219" s="258"/>
      <c r="I219" s="73"/>
      <c r="J219" s="73"/>
    </row>
    <row r="220" spans="1:10" x14ac:dyDescent="0.2">
      <c r="A220" s="239" t="s">
        <v>250</v>
      </c>
      <c r="B220" s="17" t="s">
        <v>18</v>
      </c>
      <c r="C220" s="241">
        <v>2</v>
      </c>
      <c r="D220" s="257">
        <v>10.199999999999999</v>
      </c>
      <c r="E220" s="18"/>
      <c r="G220" s="258"/>
      <c r="I220" s="73"/>
      <c r="J220" s="73"/>
    </row>
    <row r="221" spans="1:10" x14ac:dyDescent="0.2">
      <c r="A221" s="239" t="s">
        <v>251</v>
      </c>
      <c r="B221" s="17" t="s">
        <v>17</v>
      </c>
      <c r="C221" s="82">
        <f>C215</f>
        <v>21128</v>
      </c>
      <c r="D221" s="256">
        <f>C220*D220/1000</f>
        <v>2.0399999999999998E-2</v>
      </c>
      <c r="E221" s="18">
        <f>D221*C221</f>
        <v>431.01119999999997</v>
      </c>
      <c r="G221" s="258"/>
      <c r="I221" s="73"/>
      <c r="J221" s="73"/>
    </row>
    <row r="222" spans="1:10" ht="13.5" thickBot="1" x14ac:dyDescent="0.25">
      <c r="A222" s="86" t="s">
        <v>230</v>
      </c>
      <c r="B222" s="87" t="s">
        <v>97</v>
      </c>
      <c r="C222" s="228"/>
      <c r="D222" s="229">
        <f>IFERROR(D211+D215+#REF!+D219+#REF!,0)</f>
        <v>0</v>
      </c>
      <c r="E222" s="18"/>
      <c r="I222" s="73"/>
      <c r="J222" s="73"/>
    </row>
    <row r="223" spans="1:10" ht="11.25" customHeight="1" thickBot="1" x14ac:dyDescent="0.25">
      <c r="F223" s="21">
        <f>SUM(E210:E221)</f>
        <v>35303.722838787871</v>
      </c>
      <c r="I223" s="73"/>
      <c r="J223" s="73"/>
    </row>
    <row r="224" spans="1:10" x14ac:dyDescent="0.2">
      <c r="I224" s="73"/>
      <c r="J224" s="73"/>
    </row>
    <row r="225" spans="1:10" ht="13.5" thickBot="1" x14ac:dyDescent="0.25">
      <c r="A225" s="9" t="s">
        <v>44</v>
      </c>
      <c r="I225" s="73"/>
      <c r="J225" s="73"/>
    </row>
    <row r="226" spans="1:10" ht="13.5" thickBot="1" x14ac:dyDescent="0.25">
      <c r="A226" s="51" t="s">
        <v>53</v>
      </c>
      <c r="B226" s="52" t="s">
        <v>54</v>
      </c>
      <c r="C226" s="52" t="s">
        <v>33</v>
      </c>
      <c r="D226" s="53" t="s">
        <v>212</v>
      </c>
      <c r="E226" s="53" t="s">
        <v>55</v>
      </c>
      <c r="F226" s="54" t="s">
        <v>56</v>
      </c>
      <c r="I226" s="73"/>
      <c r="J226" s="73"/>
    </row>
    <row r="227" spans="1:10" ht="13.5" thickBot="1" x14ac:dyDescent="0.25">
      <c r="A227" s="13" t="s">
        <v>95</v>
      </c>
      <c r="B227" s="14" t="s">
        <v>97</v>
      </c>
      <c r="C227" s="82">
        <f>C211</f>
        <v>21128</v>
      </c>
      <c r="D227" s="75">
        <v>0.9</v>
      </c>
      <c r="E227" s="15">
        <f>C227*D227</f>
        <v>19015.2</v>
      </c>
      <c r="I227" s="73"/>
      <c r="J227" s="73"/>
    </row>
    <row r="228" spans="1:10" ht="11.25" customHeight="1" thickBot="1" x14ac:dyDescent="0.25">
      <c r="F228" s="21">
        <f>E227</f>
        <v>19015.2</v>
      </c>
      <c r="I228" s="73"/>
      <c r="J228" s="73"/>
    </row>
    <row r="229" spans="1:10" x14ac:dyDescent="0.2">
      <c r="I229" s="73"/>
      <c r="J229" s="73"/>
    </row>
    <row r="230" spans="1:10" ht="13.5" thickBot="1" x14ac:dyDescent="0.25">
      <c r="A230" s="9" t="s">
        <v>51</v>
      </c>
      <c r="I230" s="73"/>
      <c r="J230" s="73"/>
    </row>
    <row r="231" spans="1:10" ht="13.5" thickBot="1" x14ac:dyDescent="0.25">
      <c r="A231" s="51" t="s">
        <v>53</v>
      </c>
      <c r="B231" s="52" t="s">
        <v>54</v>
      </c>
      <c r="C231" s="52" t="s">
        <v>33</v>
      </c>
      <c r="D231" s="53" t="s">
        <v>212</v>
      </c>
      <c r="E231" s="53" t="s">
        <v>55</v>
      </c>
      <c r="F231" s="54" t="s">
        <v>56</v>
      </c>
      <c r="I231" s="73"/>
      <c r="J231" s="73"/>
    </row>
    <row r="232" spans="1:10" x14ac:dyDescent="0.2">
      <c r="A232" s="240" t="s">
        <v>264</v>
      </c>
      <c r="B232" s="14" t="s">
        <v>9</v>
      </c>
      <c r="C232" s="83">
        <v>22</v>
      </c>
      <c r="D232" s="75">
        <v>1900</v>
      </c>
      <c r="E232" s="15">
        <f>C232*D232</f>
        <v>41800</v>
      </c>
      <c r="I232" s="73"/>
      <c r="J232" s="73"/>
    </row>
    <row r="233" spans="1:10" x14ac:dyDescent="0.2">
      <c r="A233" s="13" t="s">
        <v>98</v>
      </c>
      <c r="B233" s="14" t="s">
        <v>9</v>
      </c>
      <c r="C233" s="83">
        <v>2</v>
      </c>
      <c r="D233" s="15"/>
      <c r="E233" s="15"/>
      <c r="I233" s="73"/>
      <c r="J233" s="73"/>
    </row>
    <row r="234" spans="1:10" x14ac:dyDescent="0.2">
      <c r="A234" s="13" t="s">
        <v>59</v>
      </c>
      <c r="B234" s="14" t="s">
        <v>9</v>
      </c>
      <c r="C234" s="15">
        <v>12</v>
      </c>
      <c r="D234" s="75">
        <v>550</v>
      </c>
      <c r="E234" s="15">
        <f>C234*D234</f>
        <v>6600</v>
      </c>
      <c r="I234" s="73"/>
      <c r="J234" s="73"/>
    </row>
    <row r="235" spans="1:10" x14ac:dyDescent="0.2">
      <c r="A235" s="239" t="s">
        <v>236</v>
      </c>
      <c r="B235" s="17" t="s">
        <v>21</v>
      </c>
      <c r="C235" s="84">
        <v>40000</v>
      </c>
      <c r="D235" s="18">
        <f>E232+E234</f>
        <v>48400</v>
      </c>
      <c r="E235" s="18">
        <f>IFERROR(D235/C235,"-")</f>
        <v>1.21</v>
      </c>
      <c r="I235" s="73"/>
      <c r="J235" s="73"/>
    </row>
    <row r="236" spans="1:10" ht="13.5" thickBot="1" x14ac:dyDescent="0.25">
      <c r="A236" s="16" t="s">
        <v>46</v>
      </c>
      <c r="B236" s="17" t="s">
        <v>17</v>
      </c>
      <c r="C236" s="82">
        <f>B207</f>
        <v>21128</v>
      </c>
      <c r="D236" s="18">
        <f>E235</f>
        <v>1.21</v>
      </c>
      <c r="E236" s="18">
        <f>IFERROR(C236*D236,0)</f>
        <v>25564.880000000001</v>
      </c>
      <c r="I236" s="73"/>
      <c r="J236" s="73"/>
    </row>
    <row r="237" spans="1:10" ht="11.25" customHeight="1" thickBot="1" x14ac:dyDescent="0.25">
      <c r="F237" s="21">
        <f>E236</f>
        <v>25564.880000000001</v>
      </c>
      <c r="I237" s="73"/>
      <c r="J237" s="73"/>
    </row>
    <row r="238" spans="1:10" ht="11.25" customHeight="1" x14ac:dyDescent="0.2">
      <c r="G238" s="9"/>
    </row>
    <row r="239" spans="1:10" ht="13.5" thickBot="1" x14ac:dyDescent="0.25">
      <c r="G239" s="9"/>
    </row>
    <row r="240" spans="1:10" ht="11.25" customHeight="1" thickBot="1" x14ac:dyDescent="0.25">
      <c r="A240" s="24" t="s">
        <v>200</v>
      </c>
      <c r="B240" s="25"/>
      <c r="C240" s="25"/>
      <c r="D240" s="26"/>
      <c r="E240" s="27"/>
      <c r="F240" s="21">
        <f>+SUM(F167:F239)</f>
        <v>98671.409705454542</v>
      </c>
      <c r="G240" s="9"/>
    </row>
    <row r="241" spans="1:7" x14ac:dyDescent="0.2">
      <c r="G241" s="9"/>
    </row>
    <row r="242" spans="1:7" ht="11.25" customHeight="1" x14ac:dyDescent="0.2">
      <c r="A242" s="11" t="s">
        <v>62</v>
      </c>
      <c r="B242" s="11"/>
      <c r="C242" s="11"/>
      <c r="D242" s="23"/>
      <c r="E242" s="23"/>
      <c r="F242" s="31"/>
      <c r="G242" s="9"/>
    </row>
    <row r="243" spans="1:7" ht="13.5" thickBot="1" x14ac:dyDescent="0.25">
      <c r="G243" s="9"/>
    </row>
    <row r="244" spans="1:7" ht="13.5" thickBot="1" x14ac:dyDescent="0.25">
      <c r="A244" s="51" t="s">
        <v>53</v>
      </c>
      <c r="B244" s="52" t="s">
        <v>54</v>
      </c>
      <c r="C244" s="52" t="s">
        <v>33</v>
      </c>
      <c r="D244" s="53" t="s">
        <v>212</v>
      </c>
      <c r="E244" s="53" t="s">
        <v>55</v>
      </c>
      <c r="F244" s="54" t="s">
        <v>56</v>
      </c>
      <c r="G244" s="9"/>
    </row>
    <row r="245" spans="1:7" x14ac:dyDescent="0.2">
      <c r="A245" s="16" t="s">
        <v>60</v>
      </c>
      <c r="B245" s="17" t="s">
        <v>9</v>
      </c>
      <c r="C245" s="242">
        <v>0.16666666666666666</v>
      </c>
      <c r="D245" s="75">
        <v>37</v>
      </c>
      <c r="E245" s="18">
        <f t="shared" ref="E245:E246" si="4">C245*D245</f>
        <v>6.1666666666666661</v>
      </c>
      <c r="F245" s="20"/>
      <c r="G245" s="9"/>
    </row>
    <row r="246" spans="1:7" ht="13.5" thickBot="1" x14ac:dyDescent="0.25">
      <c r="A246" s="239" t="s">
        <v>265</v>
      </c>
      <c r="B246" s="17" t="s">
        <v>48</v>
      </c>
      <c r="C246" s="242">
        <v>0</v>
      </c>
      <c r="D246" s="75">
        <v>26</v>
      </c>
      <c r="E246" s="18">
        <f t="shared" si="4"/>
        <v>0</v>
      </c>
      <c r="F246" s="20"/>
      <c r="G246" s="9"/>
    </row>
    <row r="247" spans="1:7" ht="11.25" customHeight="1" thickBot="1" x14ac:dyDescent="0.25">
      <c r="A247" s="11"/>
      <c r="B247" s="11"/>
      <c r="C247" s="11"/>
      <c r="D247" s="11"/>
      <c r="E247" s="23"/>
      <c r="F247" s="21">
        <f>SUM(E245:E246)</f>
        <v>6.1666666666666661</v>
      </c>
      <c r="G247" s="9"/>
    </row>
    <row r="248" spans="1:7" ht="13.5" thickBot="1" x14ac:dyDescent="0.25">
      <c r="G248" s="9"/>
    </row>
    <row r="249" spans="1:7" ht="11.25" customHeight="1" thickBot="1" x14ac:dyDescent="0.25">
      <c r="A249" s="24" t="s">
        <v>201</v>
      </c>
      <c r="B249" s="25"/>
      <c r="C249" s="25"/>
      <c r="D249" s="26"/>
      <c r="E249" s="27"/>
      <c r="F249" s="21">
        <f>+F247</f>
        <v>6.1666666666666661</v>
      </c>
      <c r="G249" s="9"/>
    </row>
    <row r="251" spans="1:7" ht="11.25" customHeight="1" x14ac:dyDescent="0.2">
      <c r="A251" s="11" t="s">
        <v>63</v>
      </c>
      <c r="B251" s="11"/>
      <c r="C251" s="11"/>
      <c r="D251" s="23"/>
      <c r="E251" s="23"/>
      <c r="F251" s="31"/>
    </row>
    <row r="252" spans="1:7" ht="13.5" thickBot="1" x14ac:dyDescent="0.25"/>
    <row r="253" spans="1:7" ht="13.5" thickBot="1" x14ac:dyDescent="0.25">
      <c r="A253" s="51" t="s">
        <v>53</v>
      </c>
      <c r="B253" s="52" t="s">
        <v>54</v>
      </c>
      <c r="C253" s="52" t="s">
        <v>33</v>
      </c>
      <c r="D253" s="53" t="s">
        <v>212</v>
      </c>
      <c r="E253" s="53" t="s">
        <v>55</v>
      </c>
      <c r="F253" s="54" t="s">
        <v>56</v>
      </c>
    </row>
    <row r="254" spans="1:7" x14ac:dyDescent="0.2">
      <c r="A254" s="16" t="s">
        <v>198</v>
      </c>
      <c r="B254" s="47" t="s">
        <v>48</v>
      </c>
      <c r="C254" s="60">
        <v>2</v>
      </c>
      <c r="D254" s="77">
        <v>110</v>
      </c>
      <c r="E254" s="18">
        <f>+D254*C254</f>
        <v>220</v>
      </c>
      <c r="F254" s="20"/>
    </row>
    <row r="255" spans="1:7" x14ac:dyDescent="0.2">
      <c r="A255" s="16" t="s">
        <v>50</v>
      </c>
      <c r="B255" s="47" t="s">
        <v>7</v>
      </c>
      <c r="C255" s="17">
        <v>60</v>
      </c>
      <c r="D255" s="71">
        <v>220</v>
      </c>
      <c r="E255" s="71">
        <f>+D255/C255</f>
        <v>3.6666666666666665</v>
      </c>
      <c r="F255" s="20"/>
    </row>
    <row r="256" spans="1:7" x14ac:dyDescent="0.2">
      <c r="A256" s="16" t="s">
        <v>199</v>
      </c>
      <c r="B256" s="17" t="s">
        <v>9</v>
      </c>
      <c r="C256" s="60">
        <f>+C254</f>
        <v>2</v>
      </c>
      <c r="D256" s="77">
        <v>90</v>
      </c>
      <c r="E256" s="18">
        <f>C256*D256</f>
        <v>180</v>
      </c>
      <c r="F256" s="20"/>
    </row>
    <row r="257" spans="1:7" ht="13.5" thickBot="1" x14ac:dyDescent="0.25">
      <c r="A257" s="16" t="s">
        <v>30</v>
      </c>
      <c r="B257" s="47" t="s">
        <v>7</v>
      </c>
      <c r="C257" s="17">
        <v>2</v>
      </c>
      <c r="D257" s="71">
        <f>+E256</f>
        <v>180</v>
      </c>
      <c r="E257" s="71">
        <f>+D257/C257</f>
        <v>90</v>
      </c>
      <c r="F257" s="20"/>
    </row>
    <row r="258" spans="1:7" s="46" customFormat="1" ht="11.25" customHeight="1" thickBot="1" x14ac:dyDescent="0.25">
      <c r="A258" s="12"/>
      <c r="B258" s="12"/>
      <c r="C258" s="12"/>
      <c r="D258" s="98" t="s">
        <v>174</v>
      </c>
      <c r="E258" s="45">
        <v>1</v>
      </c>
      <c r="F258" s="21">
        <f>(E255+E257)*E258</f>
        <v>93.666666666666671</v>
      </c>
      <c r="G258" s="72"/>
    </row>
    <row r="259" spans="1:7" ht="13.5" thickBot="1" x14ac:dyDescent="0.25"/>
    <row r="260" spans="1:7" ht="11.25" customHeight="1" thickBot="1" x14ac:dyDescent="0.25">
      <c r="A260" s="24" t="s">
        <v>197</v>
      </c>
      <c r="B260" s="25"/>
      <c r="C260" s="25"/>
      <c r="D260" s="26"/>
      <c r="E260" s="27"/>
      <c r="F260" s="21">
        <f>+F258</f>
        <v>93.666666666666671</v>
      </c>
    </row>
    <row r="261" spans="1:7" ht="17.25" customHeight="1" thickBot="1" x14ac:dyDescent="0.25"/>
    <row r="262" spans="1:7" ht="11.25" customHeight="1" thickBot="1" x14ac:dyDescent="0.25">
      <c r="A262" s="24" t="s">
        <v>202</v>
      </c>
      <c r="B262" s="28"/>
      <c r="C262" s="28"/>
      <c r="D262" s="29"/>
      <c r="E262" s="30"/>
      <c r="F262" s="22">
        <f>+F124+F159+F240+F249+F260</f>
        <v>114793.68181964882</v>
      </c>
    </row>
    <row r="264" spans="1:7" ht="13.5" thickBot="1" x14ac:dyDescent="0.25">
      <c r="A264" s="7" t="s">
        <v>262</v>
      </c>
    </row>
    <row r="265" spans="1:7" ht="13.5" thickBot="1" x14ac:dyDescent="0.25">
      <c r="A265" s="51" t="s">
        <v>53</v>
      </c>
      <c r="B265" s="52" t="s">
        <v>54</v>
      </c>
      <c r="C265" s="52" t="s">
        <v>33</v>
      </c>
      <c r="D265" s="53" t="s">
        <v>212</v>
      </c>
      <c r="E265" s="53" t="s">
        <v>55</v>
      </c>
      <c r="F265" s="248" t="s">
        <v>56</v>
      </c>
    </row>
    <row r="266" spans="1:7" ht="13.5" thickBot="1" x14ac:dyDescent="0.25">
      <c r="A266" s="7"/>
      <c r="B266" s="7"/>
      <c r="D266" s="10">
        <v>0</v>
      </c>
      <c r="E266" s="10">
        <v>0</v>
      </c>
    </row>
    <row r="267" spans="1:7" ht="13.5" thickBot="1" x14ac:dyDescent="0.25">
      <c r="F267" s="249">
        <v>0</v>
      </c>
    </row>
    <row r="268" spans="1:7" ht="13.5" thickBot="1" x14ac:dyDescent="0.25"/>
    <row r="269" spans="1:7" ht="13.5" thickBot="1" x14ac:dyDescent="0.25">
      <c r="A269" s="24" t="s">
        <v>202</v>
      </c>
      <c r="B269" s="28"/>
      <c r="C269" s="28"/>
      <c r="D269" s="29"/>
      <c r="E269" s="30"/>
      <c r="F269" s="250">
        <f>F124+F159+F240+F249+F260+F267</f>
        <v>114793.68181964882</v>
      </c>
    </row>
    <row r="271" spans="1:7" ht="11.25" customHeight="1" x14ac:dyDescent="0.2">
      <c r="A271" s="11" t="s">
        <v>248</v>
      </c>
    </row>
    <row r="272" spans="1:7" ht="13.5" thickBot="1" x14ac:dyDescent="0.25"/>
    <row r="273" spans="1:6" ht="13.5" thickBot="1" x14ac:dyDescent="0.25">
      <c r="A273" s="51" t="s">
        <v>53</v>
      </c>
      <c r="B273" s="52" t="s">
        <v>54</v>
      </c>
      <c r="C273" s="52" t="s">
        <v>33</v>
      </c>
      <c r="D273" s="53" t="s">
        <v>212</v>
      </c>
      <c r="E273" s="53" t="s">
        <v>55</v>
      </c>
      <c r="F273" s="54" t="s">
        <v>56</v>
      </c>
    </row>
    <row r="274" spans="1:6" ht="13.5" thickBot="1" x14ac:dyDescent="0.25">
      <c r="A274" s="13" t="s">
        <v>29</v>
      </c>
      <c r="B274" s="14" t="s">
        <v>2</v>
      </c>
      <c r="C274" s="113">
        <v>27.12</v>
      </c>
      <c r="D274" s="15">
        <f>F269</f>
        <v>114793.68181964882</v>
      </c>
      <c r="E274" s="15">
        <f>C274*D274/100</f>
        <v>31132.046509488762</v>
      </c>
    </row>
    <row r="275" spans="1:6" ht="11.25" customHeight="1" thickBot="1" x14ac:dyDescent="0.25">
      <c r="F275" s="21">
        <f>+E274</f>
        <v>31132.046509488762</v>
      </c>
    </row>
    <row r="276" spans="1:6" ht="13.5" thickBot="1" x14ac:dyDescent="0.25"/>
    <row r="277" spans="1:6" ht="13.5" thickBot="1" x14ac:dyDescent="0.25">
      <c r="A277" s="24" t="s">
        <v>216</v>
      </c>
      <c r="B277" s="28"/>
      <c r="C277" s="28"/>
      <c r="D277" s="29"/>
      <c r="E277" s="30"/>
      <c r="F277" s="22">
        <f>F275</f>
        <v>31132.046509488762</v>
      </c>
    </row>
    <row r="278" spans="1:6" ht="11.25" customHeight="1" x14ac:dyDescent="0.2">
      <c r="A278" s="11"/>
      <c r="B278" s="11"/>
      <c r="C278" s="11"/>
      <c r="D278" s="23"/>
      <c r="E278" s="23"/>
      <c r="F278" s="31"/>
    </row>
    <row r="279" spans="1:6" ht="24.75" customHeight="1" thickBot="1" x14ac:dyDescent="0.25"/>
    <row r="280" spans="1:6" ht="12.6" customHeight="1" thickBot="1" x14ac:dyDescent="0.25">
      <c r="A280" s="24" t="s">
        <v>203</v>
      </c>
      <c r="B280" s="28"/>
      <c r="C280" s="28"/>
      <c r="D280" s="29"/>
      <c r="E280" s="30"/>
      <c r="F280" s="22">
        <f>F277+F269</f>
        <v>145925.72832913758</v>
      </c>
    </row>
    <row r="281" spans="1:6" ht="12.6" customHeight="1" x14ac:dyDescent="0.2">
      <c r="A281" s="11"/>
      <c r="F281" s="23"/>
    </row>
    <row r="282" spans="1:6" ht="12.6" customHeight="1" x14ac:dyDescent="0.2">
      <c r="A282" s="262" t="s">
        <v>282</v>
      </c>
      <c r="B282" s="243">
        <v>1049</v>
      </c>
      <c r="E282" s="245"/>
      <c r="F282" s="23"/>
    </row>
    <row r="283" spans="1:6" ht="12.6" customHeight="1" x14ac:dyDescent="0.2">
      <c r="A283" s="11"/>
      <c r="F283" s="23"/>
    </row>
    <row r="284" spans="1:6" ht="15.75" x14ac:dyDescent="0.2">
      <c r="A284" s="48" t="s">
        <v>274</v>
      </c>
      <c r="B284" s="260">
        <f>F280/B282</f>
        <v>139.1093692365468</v>
      </c>
      <c r="C284" s="48"/>
      <c r="D284" s="49"/>
      <c r="E284" s="49"/>
      <c r="F284" s="49"/>
    </row>
    <row r="305" spans="4:7" ht="9" customHeight="1" x14ac:dyDescent="0.2">
      <c r="G305" s="9"/>
    </row>
    <row r="306" spans="4:7" x14ac:dyDescent="0.2">
      <c r="D306" s="9"/>
      <c r="E306" s="9"/>
      <c r="F306" s="9"/>
    </row>
  </sheetData>
  <mergeCells count="8">
    <mergeCell ref="A4:F17"/>
    <mergeCell ref="A54:D54"/>
    <mergeCell ref="A31:C31"/>
    <mergeCell ref="A19:F19"/>
    <mergeCell ref="A20:F20"/>
    <mergeCell ref="A48:D48"/>
    <mergeCell ref="A22:F22"/>
    <mergeCell ref="A47:E47"/>
  </mergeCells>
  <phoneticPr fontId="9" type="noConversion"/>
  <hyperlinks>
    <hyperlink ref="A181" location="AbaRemun" display="3.1.2. Remuneração do Capital" xr:uid="{00000000-0004-0000-0000-000000000000}"/>
    <hyperlink ref="A165" location="AbaDeprec" display="3.1.1. Depreciação" xr:uid="{00000000-0004-0000-0000-000001000000}"/>
  </hyperlinks>
  <pageMargins left="0.9055118110236221" right="0.51181102362204722" top="0.74803149606299213" bottom="0.74803149606299213" header="0.31496062992125984" footer="0.31496062992125984"/>
  <pageSetup paperSize="9" scale="59" fitToHeight="0" orientation="portrait" r:id="rId1"/>
  <headerFooter alignWithMargins="0">
    <oddFooter>&amp;R&amp;P de &amp;N</oddFooter>
  </headerFooter>
  <rowBreaks count="3" manualBreakCount="3">
    <brk id="89" max="16383" man="1"/>
    <brk id="171" max="16383" man="1"/>
    <brk id="24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opLeftCell="A19" zoomScaleNormal="100" workbookViewId="0">
      <selection activeCell="D8" sqref="D8"/>
    </sheetView>
  </sheetViews>
  <sheetFormatPr defaultRowHeight="12.75" x14ac:dyDescent="0.2"/>
  <cols>
    <col min="1" max="1" width="13.5703125" style="1" customWidth="1"/>
    <col min="2" max="2" width="36.7109375" style="1" bestFit="1" customWidth="1"/>
    <col min="3" max="3" width="14.570312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6" x14ac:dyDescent="0.2">
      <c r="A1" s="11" t="s">
        <v>180</v>
      </c>
    </row>
    <row r="2" spans="1:6" x14ac:dyDescent="0.2">
      <c r="A2" s="112" t="s">
        <v>223</v>
      </c>
    </row>
    <row r="3" spans="1:6" ht="13.5" thickBot="1" x14ac:dyDescent="0.25"/>
    <row r="4" spans="1:6" ht="18" x14ac:dyDescent="0.2">
      <c r="A4" s="282" t="s">
        <v>206</v>
      </c>
      <c r="B4" s="283"/>
      <c r="C4" s="284"/>
      <c r="D4" s="120"/>
      <c r="E4" s="120"/>
      <c r="F4" s="120"/>
    </row>
    <row r="5" spans="1:6" ht="14.25" x14ac:dyDescent="0.2">
      <c r="A5" s="137" t="s">
        <v>118</v>
      </c>
      <c r="B5" s="138" t="s">
        <v>119</v>
      </c>
      <c r="C5" s="139" t="s">
        <v>120</v>
      </c>
      <c r="D5" s="140"/>
    </row>
    <row r="6" spans="1:6" ht="14.25" x14ac:dyDescent="0.2">
      <c r="A6" s="137" t="s">
        <v>121</v>
      </c>
      <c r="B6" s="138" t="s">
        <v>34</v>
      </c>
      <c r="C6" s="141">
        <v>0.2</v>
      </c>
      <c r="D6" s="140"/>
    </row>
    <row r="7" spans="1:6" ht="14.25" x14ac:dyDescent="0.2">
      <c r="A7" s="137" t="s">
        <v>122</v>
      </c>
      <c r="B7" s="138" t="s">
        <v>123</v>
      </c>
      <c r="C7" s="141">
        <v>1.4999999999999999E-2</v>
      </c>
      <c r="D7" s="140"/>
    </row>
    <row r="8" spans="1:6" ht="14.25" x14ac:dyDescent="0.2">
      <c r="A8" s="137" t="s">
        <v>124</v>
      </c>
      <c r="B8" s="138" t="s">
        <v>125</v>
      </c>
      <c r="C8" s="141">
        <v>0.01</v>
      </c>
      <c r="D8" s="140"/>
    </row>
    <row r="9" spans="1:6" ht="14.25" x14ac:dyDescent="0.2">
      <c r="A9" s="137" t="s">
        <v>126</v>
      </c>
      <c r="B9" s="138" t="s">
        <v>127</v>
      </c>
      <c r="C9" s="141">
        <v>2E-3</v>
      </c>
      <c r="D9" s="140"/>
    </row>
    <row r="10" spans="1:6" ht="14.25" x14ac:dyDescent="0.2">
      <c r="A10" s="137" t="s">
        <v>128</v>
      </c>
      <c r="B10" s="138" t="s">
        <v>129</v>
      </c>
      <c r="C10" s="141">
        <v>6.0000000000000001E-3</v>
      </c>
      <c r="D10" s="140"/>
    </row>
    <row r="11" spans="1:6" ht="14.25" x14ac:dyDescent="0.2">
      <c r="A11" s="137" t="s">
        <v>130</v>
      </c>
      <c r="B11" s="138" t="s">
        <v>131</v>
      </c>
      <c r="C11" s="141">
        <v>2.5000000000000001E-2</v>
      </c>
      <c r="D11" s="140"/>
    </row>
    <row r="12" spans="1:6" ht="14.25" x14ac:dyDescent="0.2">
      <c r="A12" s="137" t="s">
        <v>132</v>
      </c>
      <c r="B12" s="138" t="s">
        <v>133</v>
      </c>
      <c r="C12" s="141">
        <v>0.03</v>
      </c>
      <c r="D12" s="140"/>
    </row>
    <row r="13" spans="1:6" ht="14.25" x14ac:dyDescent="0.2">
      <c r="A13" s="137" t="s">
        <v>134</v>
      </c>
      <c r="B13" s="138" t="s">
        <v>35</v>
      </c>
      <c r="C13" s="141">
        <v>0.08</v>
      </c>
      <c r="D13" s="140"/>
    </row>
    <row r="14" spans="1:6" ht="15" x14ac:dyDescent="0.2">
      <c r="A14" s="137" t="s">
        <v>135</v>
      </c>
      <c r="B14" s="142" t="s">
        <v>136</v>
      </c>
      <c r="C14" s="143">
        <f>SUM(C6:C13)</f>
        <v>0.36800000000000005</v>
      </c>
      <c r="D14" s="140"/>
    </row>
    <row r="15" spans="1:6" ht="15" x14ac:dyDescent="0.2">
      <c r="A15" s="144"/>
      <c r="B15" s="145"/>
      <c r="C15" s="146"/>
      <c r="D15" s="140"/>
    </row>
    <row r="16" spans="1:6" ht="14.25" x14ac:dyDescent="0.2">
      <c r="A16" s="137" t="s">
        <v>137</v>
      </c>
      <c r="B16" s="147" t="s">
        <v>138</v>
      </c>
      <c r="C16" s="141">
        <f>ROUND(IF('3.CAGED'!C39&gt;24,(1-12/'3.CAGED'!C39)*0.1111,0.1111-C25),4)</f>
        <v>6.1499999999999999E-2</v>
      </c>
      <c r="D16" s="140"/>
    </row>
    <row r="17" spans="1:8" ht="14.25" x14ac:dyDescent="0.2">
      <c r="A17" s="137" t="s">
        <v>139</v>
      </c>
      <c r="B17" s="147" t="s">
        <v>140</v>
      </c>
      <c r="C17" s="141">
        <f>ROUND('3.CAGED'!C33/'3.CAGED'!C30,4)</f>
        <v>8.3299999999999999E-2</v>
      </c>
      <c r="D17" s="140"/>
    </row>
    <row r="18" spans="1:8" ht="14.25" x14ac:dyDescent="0.2">
      <c r="A18" s="137" t="s">
        <v>196</v>
      </c>
      <c r="B18" s="147" t="s">
        <v>142</v>
      </c>
      <c r="C18" s="141">
        <v>5.9999999999999995E-4</v>
      </c>
      <c r="D18" s="140"/>
    </row>
    <row r="19" spans="1:8" ht="14.25" x14ac:dyDescent="0.2">
      <c r="A19" s="137" t="s">
        <v>141</v>
      </c>
      <c r="B19" s="147" t="s">
        <v>144</v>
      </c>
      <c r="C19" s="141">
        <v>8.2000000000000007E-3</v>
      </c>
      <c r="D19" s="140"/>
    </row>
    <row r="20" spans="1:8" ht="14.25" x14ac:dyDescent="0.2">
      <c r="A20" s="137" t="s">
        <v>143</v>
      </c>
      <c r="B20" s="147" t="s">
        <v>146</v>
      </c>
      <c r="C20" s="141">
        <v>3.0999999999999999E-3</v>
      </c>
      <c r="D20" s="140"/>
    </row>
    <row r="21" spans="1:8" ht="14.25" x14ac:dyDescent="0.2">
      <c r="A21" s="137" t="s">
        <v>145</v>
      </c>
      <c r="B21" s="147" t="s">
        <v>147</v>
      </c>
      <c r="C21" s="141">
        <v>1.66E-2</v>
      </c>
      <c r="D21" s="140"/>
    </row>
    <row r="22" spans="1:8" ht="15" x14ac:dyDescent="0.2">
      <c r="A22" s="137" t="s">
        <v>148</v>
      </c>
      <c r="B22" s="142" t="s">
        <v>149</v>
      </c>
      <c r="C22" s="143">
        <f>SUM(C16:C21)</f>
        <v>0.17329999999999998</v>
      </c>
      <c r="D22" s="148"/>
    </row>
    <row r="23" spans="1:8" ht="15" x14ac:dyDescent="0.2">
      <c r="A23" s="144"/>
      <c r="B23" s="145"/>
      <c r="C23" s="146"/>
      <c r="D23" s="148"/>
    </row>
    <row r="24" spans="1:8" ht="14.25" x14ac:dyDescent="0.2">
      <c r="A24" s="137" t="s">
        <v>150</v>
      </c>
      <c r="B24" s="138" t="s">
        <v>151</v>
      </c>
      <c r="C24" s="141">
        <f>ROUND(('3.CAGED'!C38) *'3.CAGED'!C29/'3.CAGED'!C30,4)</f>
        <v>4.5100000000000001E-2</v>
      </c>
      <c r="D24" s="140"/>
      <c r="E24" s="149"/>
    </row>
    <row r="25" spans="1:8" ht="14.25" x14ac:dyDescent="0.2">
      <c r="A25" s="137" t="s">
        <v>195</v>
      </c>
      <c r="B25" s="138" t="s">
        <v>153</v>
      </c>
      <c r="C25" s="141">
        <f>ROUND(IF('3.CAGED'!C39&gt;12,12/'3.CAGED'!C39*0.1111,0.1111),4)</f>
        <v>4.9599999999999998E-2</v>
      </c>
      <c r="D25" s="140"/>
      <c r="H25" s="150"/>
    </row>
    <row r="26" spans="1:8" ht="14.25" x14ac:dyDescent="0.2">
      <c r="A26" s="137" t="s">
        <v>152</v>
      </c>
      <c r="B26" s="138" t="s">
        <v>155</v>
      </c>
      <c r="C26" s="141">
        <f>ROUND(('3.CAGED'!C32+'3.CAGED'!C31)/360*C24,4)</f>
        <v>5.0000000000000001E-3</v>
      </c>
      <c r="D26" s="140"/>
    </row>
    <row r="27" spans="1:8" ht="14.25" x14ac:dyDescent="0.2">
      <c r="A27" s="137" t="s">
        <v>154</v>
      </c>
      <c r="B27" s="138" t="s">
        <v>157</v>
      </c>
      <c r="C27" s="141">
        <f>ROUND(('3.CAGED'!C30+'3.CAGED'!C31+'3.CAGED'!C33)/'3.CAGED'!C28*'3.CAGED'!C35*'3.CAGED'!C36*'3.CAGED'!C29/'3.CAGED'!C30,4)</f>
        <v>4.4900000000000002E-2</v>
      </c>
      <c r="D27" s="140"/>
      <c r="G27" s="149"/>
    </row>
    <row r="28" spans="1:8" ht="14.25" x14ac:dyDescent="0.2">
      <c r="A28" s="137" t="s">
        <v>156</v>
      </c>
      <c r="B28" s="138" t="s">
        <v>158</v>
      </c>
      <c r="C28" s="141">
        <f>ROUND(('3.CAGED'!C32/'3.CAGED'!C30)*'3.CAGED'!C29/12,4)</f>
        <v>3.0999999999999999E-3</v>
      </c>
      <c r="D28" s="140"/>
    </row>
    <row r="29" spans="1:8" ht="15" x14ac:dyDescent="0.2">
      <c r="A29" s="137" t="s">
        <v>159</v>
      </c>
      <c r="B29" s="142" t="s">
        <v>160</v>
      </c>
      <c r="C29" s="143">
        <f>SUM(C24:C28)</f>
        <v>0.1477</v>
      </c>
      <c r="D29" s="148"/>
    </row>
    <row r="30" spans="1:8" ht="15" x14ac:dyDescent="0.2">
      <c r="A30" s="144"/>
      <c r="B30" s="145"/>
      <c r="C30" s="146"/>
      <c r="D30" s="148"/>
    </row>
    <row r="31" spans="1:8" ht="14.25" x14ac:dyDescent="0.2">
      <c r="A31" s="137" t="s">
        <v>161</v>
      </c>
      <c r="B31" s="138" t="s">
        <v>162</v>
      </c>
      <c r="C31" s="141">
        <f>ROUND(C14*C22,4)</f>
        <v>6.3799999999999996E-2</v>
      </c>
      <c r="D31" s="140"/>
    </row>
    <row r="32" spans="1:8" ht="28.5" x14ac:dyDescent="0.2">
      <c r="A32" s="137" t="s">
        <v>163</v>
      </c>
      <c r="B32" s="151" t="s">
        <v>164</v>
      </c>
      <c r="C32" s="141">
        <f>ROUND((C24*C14),4)</f>
        <v>1.66E-2</v>
      </c>
      <c r="D32" s="140"/>
    </row>
    <row r="33" spans="1:4" ht="15" x14ac:dyDescent="0.2">
      <c r="A33" s="137" t="s">
        <v>165</v>
      </c>
      <c r="B33" s="142" t="s">
        <v>166</v>
      </c>
      <c r="C33" s="143">
        <f>SUM(C31:C32)</f>
        <v>8.0399999999999999E-2</v>
      </c>
      <c r="D33" s="148"/>
    </row>
    <row r="34" spans="1:4" ht="15.75" thickBot="1" x14ac:dyDescent="0.25">
      <c r="A34" s="152"/>
      <c r="B34" s="153" t="s">
        <v>167</v>
      </c>
      <c r="C34" s="154">
        <f>C33+C29+C22+C14</f>
        <v>0.76940000000000008</v>
      </c>
      <c r="D34" s="148"/>
    </row>
    <row r="35" spans="1:4" ht="15" x14ac:dyDescent="0.2">
      <c r="A35" s="140"/>
      <c r="B35" s="155"/>
      <c r="C35" s="156"/>
      <c r="D35" s="157"/>
    </row>
    <row r="36" spans="1:4" ht="14.25" x14ac:dyDescent="0.2">
      <c r="A36" s="140"/>
      <c r="B36" s="140"/>
      <c r="C36" s="158"/>
      <c r="D36" s="159"/>
    </row>
    <row r="37" spans="1:4" ht="14.25" x14ac:dyDescent="0.2">
      <c r="A37" s="140"/>
      <c r="B37" s="140"/>
      <c r="C37" s="158"/>
      <c r="D37" s="140"/>
    </row>
    <row r="38" spans="1:4" ht="14.25" x14ac:dyDescent="0.2">
      <c r="A38" s="140"/>
      <c r="B38" s="140"/>
      <c r="C38" s="158"/>
      <c r="D38" s="140"/>
    </row>
    <row r="39" spans="1:4" ht="14.25" x14ac:dyDescent="0.2">
      <c r="A39" s="140"/>
      <c r="B39" s="140"/>
      <c r="C39" s="158"/>
      <c r="D39" s="140"/>
    </row>
    <row r="40" spans="1:4" ht="15" x14ac:dyDescent="0.2">
      <c r="A40" s="140"/>
      <c r="B40" s="155"/>
      <c r="C40" s="156"/>
      <c r="D40" s="140"/>
    </row>
    <row r="41" spans="1:4" ht="15" x14ac:dyDescent="0.2">
      <c r="A41" s="148"/>
      <c r="B41" s="155"/>
      <c r="C41" s="156"/>
      <c r="D41" s="148"/>
    </row>
    <row r="42" spans="1:4" ht="16.5" x14ac:dyDescent="0.2">
      <c r="A42" s="160"/>
    </row>
    <row r="43" spans="1:4" x14ac:dyDescent="0.2">
      <c r="A43" s="161"/>
      <c r="B43" s="162"/>
      <c r="C43" s="162"/>
    </row>
    <row r="44" spans="1:4" ht="14.25" x14ac:dyDescent="0.2">
      <c r="A44" s="140"/>
      <c r="B44" s="163"/>
      <c r="C44" s="162"/>
    </row>
    <row r="45" spans="1:4" ht="14.25" x14ac:dyDescent="0.2">
      <c r="A45" s="140"/>
      <c r="B45" s="163"/>
      <c r="C45" s="140"/>
    </row>
    <row r="46" spans="1:4" ht="14.25" x14ac:dyDescent="0.2">
      <c r="A46" s="140"/>
      <c r="B46" s="158"/>
      <c r="C46" s="162"/>
    </row>
    <row r="47" spans="1:4" ht="14.25" x14ac:dyDescent="0.2">
      <c r="A47" s="140"/>
      <c r="B47" s="163"/>
      <c r="C47" s="140"/>
    </row>
    <row r="48" spans="1:4" ht="14.25" x14ac:dyDescent="0.2">
      <c r="A48" s="140"/>
      <c r="B48" s="158"/>
      <c r="C48" s="162"/>
    </row>
    <row r="49" spans="1:3" ht="14.25" x14ac:dyDescent="0.2">
      <c r="A49" s="140"/>
      <c r="B49" s="163"/>
      <c r="C49" s="140"/>
    </row>
    <row r="50" spans="1:3" ht="14.25" x14ac:dyDescent="0.2">
      <c r="A50" s="140"/>
      <c r="B50" s="158"/>
      <c r="C50" s="162"/>
    </row>
    <row r="51" spans="1:3" ht="14.25" x14ac:dyDescent="0.2">
      <c r="A51" s="140"/>
      <c r="B51" s="163"/>
      <c r="C51" s="140"/>
    </row>
    <row r="52" spans="1:3" ht="14.25" x14ac:dyDescent="0.2">
      <c r="A52" s="140"/>
      <c r="B52" s="158"/>
      <c r="C52" s="162"/>
    </row>
    <row r="53" spans="1:3" ht="16.5" x14ac:dyDescent="0.2">
      <c r="A53" s="160"/>
    </row>
    <row r="56" spans="1:3" x14ac:dyDescent="0.2">
      <c r="A56" s="89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topLeftCell="A3" zoomScaleNormal="100" workbookViewId="0">
      <selection activeCell="C12" sqref="C12"/>
    </sheetView>
  </sheetViews>
  <sheetFormatPr defaultRowHeight="12.75" x14ac:dyDescent="0.2"/>
  <cols>
    <col min="1" max="1" width="8.5703125" style="1" customWidth="1"/>
    <col min="2" max="2" width="75.85546875" style="1" customWidth="1"/>
    <col min="3" max="3" width="13.7109375" style="1" customWidth="1"/>
    <col min="4" max="4" width="10.28515625" style="1" hidden="1" customWidth="1"/>
    <col min="5" max="5" width="13.7109375" style="1" hidden="1" customWidth="1"/>
    <col min="6" max="6" width="14.42578125" style="1" hidden="1" customWidth="1"/>
    <col min="7" max="7" width="12.7109375" style="1" hidden="1" customWidth="1"/>
    <col min="8" max="8" width="4.42578125" style="1" hidden="1" customWidth="1"/>
    <col min="9" max="9" width="6.85546875" style="1" hidden="1" customWidth="1"/>
    <col min="10" max="10" width="3.28515625" style="1" hidden="1" customWidth="1"/>
    <col min="11" max="11" width="0" style="1" hidden="1" customWidth="1"/>
    <col min="12" max="16384" width="9.140625" style="1"/>
  </cols>
  <sheetData>
    <row r="1" spans="1:3" x14ac:dyDescent="0.2">
      <c r="A1" s="90" t="s">
        <v>217</v>
      </c>
    </row>
    <row r="3" spans="1:3" x14ac:dyDescent="0.2">
      <c r="A3" s="1" t="s">
        <v>187</v>
      </c>
    </row>
    <row r="4" spans="1:3" x14ac:dyDescent="0.2">
      <c r="A4" s="232" t="s">
        <v>183</v>
      </c>
    </row>
    <row r="5" spans="1:3" ht="25.5" customHeight="1" x14ac:dyDescent="0.2">
      <c r="A5" s="288" t="s">
        <v>228</v>
      </c>
      <c r="B5" s="287"/>
      <c r="C5" s="287"/>
    </row>
    <row r="6" spans="1:3" x14ac:dyDescent="0.2">
      <c r="A6" s="1" t="s">
        <v>184</v>
      </c>
    </row>
    <row r="7" spans="1:3" ht="26.25" customHeight="1" x14ac:dyDescent="0.2">
      <c r="A7" s="287" t="s">
        <v>185</v>
      </c>
      <c r="B7" s="287"/>
      <c r="C7" s="287"/>
    </row>
    <row r="8" spans="1:3" x14ac:dyDescent="0.2">
      <c r="A8" s="1" t="s">
        <v>186</v>
      </c>
    </row>
    <row r="9" spans="1:3" x14ac:dyDescent="0.2">
      <c r="A9" s="1" t="s">
        <v>218</v>
      </c>
    </row>
    <row r="10" spans="1:3" ht="13.5" thickBot="1" x14ac:dyDescent="0.25"/>
    <row r="11" spans="1:3" ht="18" x14ac:dyDescent="0.25">
      <c r="B11" s="285" t="s">
        <v>204</v>
      </c>
      <c r="C11" s="286"/>
    </row>
    <row r="12" spans="1:3" ht="15" x14ac:dyDescent="0.25">
      <c r="B12" s="124" t="s">
        <v>182</v>
      </c>
      <c r="C12" s="164"/>
    </row>
    <row r="13" spans="1:3" ht="15" x14ac:dyDescent="0.25">
      <c r="B13" s="125" t="s">
        <v>99</v>
      </c>
      <c r="C13" s="126">
        <v>2376</v>
      </c>
    </row>
    <row r="14" spans="1:3" ht="15" x14ac:dyDescent="0.25">
      <c r="B14" s="127" t="s">
        <v>100</v>
      </c>
      <c r="C14" s="126">
        <v>2746</v>
      </c>
    </row>
    <row r="15" spans="1:3" ht="14.25" x14ac:dyDescent="0.2">
      <c r="B15" s="165" t="s">
        <v>101</v>
      </c>
      <c r="C15" s="166">
        <v>157</v>
      </c>
    </row>
    <row r="16" spans="1:3" ht="14.25" x14ac:dyDescent="0.2">
      <c r="B16" s="165" t="s">
        <v>102</v>
      </c>
      <c r="C16" s="166">
        <v>2589</v>
      </c>
    </row>
    <row r="17" spans="1:7" ht="14.25" x14ac:dyDescent="0.2">
      <c r="B17" s="165" t="s">
        <v>103</v>
      </c>
      <c r="C17" s="166">
        <v>336</v>
      </c>
    </row>
    <row r="18" spans="1:7" ht="14.25" x14ac:dyDescent="0.2">
      <c r="B18" s="165" t="s">
        <v>104</v>
      </c>
      <c r="C18" s="166">
        <v>24</v>
      </c>
    </row>
    <row r="19" spans="1:7" ht="14.25" x14ac:dyDescent="0.2">
      <c r="B19" s="165" t="s">
        <v>105</v>
      </c>
      <c r="C19" s="166">
        <v>448</v>
      </c>
    </row>
    <row r="20" spans="1:7" ht="14.25" x14ac:dyDescent="0.2">
      <c r="B20" s="165" t="s">
        <v>106</v>
      </c>
      <c r="C20" s="166">
        <v>1</v>
      </c>
    </row>
    <row r="21" spans="1:7" ht="14.25" x14ac:dyDescent="0.2">
      <c r="B21" s="165" t="s">
        <v>107</v>
      </c>
      <c r="C21" s="166">
        <v>24</v>
      </c>
    </row>
    <row r="22" spans="1:7" ht="14.25" x14ac:dyDescent="0.2">
      <c r="B22" s="167" t="s">
        <v>108</v>
      </c>
      <c r="C22" s="168">
        <v>0</v>
      </c>
    </row>
    <row r="23" spans="1:7" ht="15" x14ac:dyDescent="0.25">
      <c r="A23" s="1" t="s">
        <v>109</v>
      </c>
      <c r="B23" s="124" t="s">
        <v>110</v>
      </c>
      <c r="C23" s="164"/>
    </row>
    <row r="24" spans="1:7" ht="14.25" x14ac:dyDescent="0.2">
      <c r="B24" s="169" t="s">
        <v>238</v>
      </c>
      <c r="C24" s="170">
        <v>6342</v>
      </c>
    </row>
    <row r="25" spans="1:7" ht="14.25" x14ac:dyDescent="0.2">
      <c r="B25" s="165" t="s">
        <v>237</v>
      </c>
      <c r="C25" s="166">
        <v>5133</v>
      </c>
    </row>
    <row r="26" spans="1:7" ht="14.25" x14ac:dyDescent="0.2">
      <c r="B26" s="165" t="s">
        <v>234</v>
      </c>
      <c r="C26" s="166">
        <v>-1209</v>
      </c>
    </row>
    <row r="27" spans="1:7" ht="14.25" x14ac:dyDescent="0.2">
      <c r="B27" s="171"/>
      <c r="C27" s="172"/>
    </row>
    <row r="28" spans="1:7" ht="15" x14ac:dyDescent="0.25">
      <c r="B28" s="128" t="s">
        <v>111</v>
      </c>
      <c r="C28" s="233">
        <f>MEDIAN(C13,C14)/MEDIAN(C24,C25)</f>
        <v>0.44636165577342046</v>
      </c>
      <c r="G28" s="1">
        <f>12/C28</f>
        <v>26.884029675907851</v>
      </c>
    </row>
    <row r="29" spans="1:7" ht="15" x14ac:dyDescent="0.25">
      <c r="B29" s="125" t="s">
        <v>112</v>
      </c>
      <c r="C29" s="233">
        <f>C16/MEDIAN(C24,C25)</f>
        <v>0.45124183006535945</v>
      </c>
    </row>
    <row r="30" spans="1:7" ht="15" x14ac:dyDescent="0.25">
      <c r="B30" s="130" t="s">
        <v>113</v>
      </c>
      <c r="C30" s="129">
        <v>360</v>
      </c>
    </row>
    <row r="31" spans="1:7" ht="15" x14ac:dyDescent="0.25">
      <c r="B31" s="125" t="s">
        <v>219</v>
      </c>
      <c r="C31" s="129">
        <v>10</v>
      </c>
    </row>
    <row r="32" spans="1:7" ht="15" x14ac:dyDescent="0.25">
      <c r="B32" s="125" t="s">
        <v>220</v>
      </c>
      <c r="C32" s="129">
        <v>30</v>
      </c>
      <c r="G32" s="1">
        <f>TRUNC(G37)</f>
        <v>2</v>
      </c>
    </row>
    <row r="33" spans="2:11" ht="15" x14ac:dyDescent="0.25">
      <c r="B33" s="125" t="s">
        <v>221</v>
      </c>
      <c r="C33" s="129">
        <v>30</v>
      </c>
    </row>
    <row r="34" spans="2:11" s="90" customFormat="1" ht="15" x14ac:dyDescent="0.25">
      <c r="B34" s="125" t="s">
        <v>114</v>
      </c>
      <c r="C34" s="173">
        <f>MEDIAN(C24,C25)</f>
        <v>5737.5</v>
      </c>
    </row>
    <row r="35" spans="2:11" s="90" customFormat="1" ht="15" x14ac:dyDescent="0.25">
      <c r="B35" s="125" t="s">
        <v>35</v>
      </c>
      <c r="C35" s="174">
        <v>0.08</v>
      </c>
      <c r="K35" s="90">
        <f>IF(C39&gt;12,C39-12,C39)</f>
        <v>14.884029675907851</v>
      </c>
    </row>
    <row r="36" spans="2:11" s="90" customFormat="1" ht="15" x14ac:dyDescent="0.25">
      <c r="B36" s="125" t="s">
        <v>115</v>
      </c>
      <c r="C36" s="174">
        <v>0.5</v>
      </c>
      <c r="K36" s="90" t="e">
        <f>IF(#REF!&gt;12,#REF!-12,#REF!)</f>
        <v>#REF!</v>
      </c>
    </row>
    <row r="37" spans="2:11" s="90" customFormat="1" ht="15" x14ac:dyDescent="0.25">
      <c r="B37" s="125" t="s">
        <v>116</v>
      </c>
      <c r="C37" s="234">
        <f>((1/C28)-TRUNC(E37))</f>
        <v>0.24033580632565421</v>
      </c>
      <c r="D37" s="90">
        <f>TRUNC(E37)</f>
        <v>2</v>
      </c>
      <c r="E37" s="90">
        <f>1/C28</f>
        <v>2.2403358063256542</v>
      </c>
      <c r="F37" s="90">
        <f>((1/C28)-TRUNC(E37))</f>
        <v>0.24033580632565421</v>
      </c>
      <c r="G37" s="90">
        <f>12*F37</f>
        <v>2.8840296759078505</v>
      </c>
      <c r="K37" s="90" t="e">
        <f>IF(#REF!&gt;12,#REF!-12,#REF!)</f>
        <v>#REF!</v>
      </c>
    </row>
    <row r="38" spans="2:11" s="90" customFormat="1" ht="15" x14ac:dyDescent="0.25">
      <c r="B38" s="124" t="s">
        <v>117</v>
      </c>
      <c r="C38" s="131">
        <f>30+D38</f>
        <v>36</v>
      </c>
      <c r="D38" s="90">
        <f>3*D37</f>
        <v>6</v>
      </c>
      <c r="G38" s="90">
        <f>G37/12*40/360</f>
        <v>2.6703978480628245E-2</v>
      </c>
      <c r="K38" s="90" t="e">
        <f>IF(#REF!&gt;12,#REF!-12,#REF!)</f>
        <v>#REF!</v>
      </c>
    </row>
    <row r="39" spans="2:11" s="90" customFormat="1" ht="15.75" thickBot="1" x14ac:dyDescent="0.3">
      <c r="B39" s="132" t="s">
        <v>224</v>
      </c>
      <c r="C39" s="235">
        <f>12/C28</f>
        <v>26.884029675907851</v>
      </c>
      <c r="K39" s="90" t="e">
        <f>IF(#REF!&gt;12,#REF!-12,#REF!)</f>
        <v>#REF!</v>
      </c>
    </row>
    <row r="40" spans="2:11" x14ac:dyDescent="0.2">
      <c r="K40" s="1" t="e">
        <f t="shared" ref="K40:K41" si="0">IF(K39&gt;12,K39-12,K39)</f>
        <v>#REF!</v>
      </c>
    </row>
    <row r="41" spans="2:11" x14ac:dyDescent="0.2">
      <c r="K41" s="1" t="e">
        <f t="shared" si="0"/>
        <v>#REF!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topLeftCell="A7" zoomScaleNormal="100" workbookViewId="0">
      <selection activeCell="E14" sqref="E14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97" bestFit="1" customWidth="1"/>
    <col min="6" max="6" width="9.7109375" bestFit="1" customWidth="1"/>
  </cols>
  <sheetData>
    <row r="1" spans="1:8" s="117" customFormat="1" ht="14.25" x14ac:dyDescent="0.2">
      <c r="A1" s="11" t="s">
        <v>180</v>
      </c>
      <c r="B1" s="8"/>
      <c r="C1" s="8"/>
      <c r="E1" s="118"/>
    </row>
    <row r="2" spans="1:8" s="117" customFormat="1" ht="14.25" x14ac:dyDescent="0.2">
      <c r="A2" s="112" t="s">
        <v>225</v>
      </c>
      <c r="B2" s="8"/>
      <c r="C2" s="8"/>
      <c r="E2" s="118"/>
    </row>
    <row r="3" spans="1:8" s="117" customFormat="1" ht="14.25" x14ac:dyDescent="0.2">
      <c r="A3" s="9" t="s">
        <v>181</v>
      </c>
      <c r="B3" s="8"/>
      <c r="C3" s="8"/>
      <c r="E3" s="118"/>
    </row>
    <row r="4" spans="1:8" s="117" customFormat="1" ht="14.25" x14ac:dyDescent="0.2">
      <c r="A4" s="112"/>
      <c r="B4" s="8"/>
      <c r="C4" s="8"/>
      <c r="E4" s="118"/>
    </row>
    <row r="5" spans="1:8" s="117" customFormat="1" ht="15" thickBot="1" x14ac:dyDescent="0.25">
      <c r="B5" s="8"/>
      <c r="C5" s="8"/>
      <c r="E5" s="118"/>
    </row>
    <row r="6" spans="1:8" ht="15.75" x14ac:dyDescent="0.2">
      <c r="A6" s="294" t="s">
        <v>205</v>
      </c>
      <c r="B6" s="295"/>
      <c r="C6" s="295"/>
      <c r="D6" s="295"/>
      <c r="E6" s="295"/>
      <c r="F6" s="296"/>
    </row>
    <row r="7" spans="1:8" ht="16.5" thickBot="1" x14ac:dyDescent="0.25">
      <c r="A7" s="220"/>
      <c r="B7" s="221"/>
      <c r="C7" s="221"/>
      <c r="D7" s="221"/>
      <c r="E7" s="221"/>
      <c r="F7" s="222"/>
    </row>
    <row r="8" spans="1:8" ht="15" x14ac:dyDescent="0.25">
      <c r="A8" s="175"/>
      <c r="B8" s="8"/>
      <c r="C8" s="8"/>
      <c r="D8" s="291" t="s">
        <v>222</v>
      </c>
      <c r="E8" s="292"/>
      <c r="F8" s="293"/>
      <c r="G8" s="117"/>
      <c r="H8" s="117"/>
    </row>
    <row r="9" spans="1:8" ht="15" thickBot="1" x14ac:dyDescent="0.25">
      <c r="A9" s="171"/>
      <c r="B9" s="117"/>
      <c r="C9" s="117"/>
      <c r="D9" s="176" t="s">
        <v>168</v>
      </c>
      <c r="E9" s="177" t="s">
        <v>169</v>
      </c>
      <c r="F9" s="178" t="s">
        <v>170</v>
      </c>
      <c r="G9" s="117"/>
      <c r="H9" s="117"/>
    </row>
    <row r="10" spans="1:8" ht="14.25" x14ac:dyDescent="0.2">
      <c r="A10" s="179" t="s">
        <v>64</v>
      </c>
      <c r="B10" s="180" t="s">
        <v>65</v>
      </c>
      <c r="C10" s="181">
        <v>5.0799999999999998E-2</v>
      </c>
      <c r="D10" s="203">
        <v>2.9700000000000001E-2</v>
      </c>
      <c r="E10" s="204">
        <v>5.0799999999999998E-2</v>
      </c>
      <c r="F10" s="205">
        <v>6.2700000000000006E-2</v>
      </c>
      <c r="G10" s="117"/>
      <c r="H10" s="117"/>
    </row>
    <row r="11" spans="1:8" ht="14.25" x14ac:dyDescent="0.2">
      <c r="A11" s="184" t="s">
        <v>66</v>
      </c>
      <c r="B11" s="185" t="s">
        <v>67</v>
      </c>
      <c r="C11" s="186">
        <v>1.3299999999999999E-2</v>
      </c>
      <c r="D11" s="203">
        <f>0.3%+0.56%</f>
        <v>8.6E-3</v>
      </c>
      <c r="E11" s="204">
        <f>0.48%+0.85%</f>
        <v>1.3299999999999999E-2</v>
      </c>
      <c r="F11" s="205">
        <f>0.82%+0.89%</f>
        <v>1.7099999999999997E-2</v>
      </c>
      <c r="G11" s="117"/>
      <c r="H11" s="117"/>
    </row>
    <row r="12" spans="1:8" ht="14.25" x14ac:dyDescent="0.2">
      <c r="A12" s="184" t="s">
        <v>68</v>
      </c>
      <c r="B12" s="185" t="s">
        <v>69</v>
      </c>
      <c r="C12" s="186">
        <v>0.1085</v>
      </c>
      <c r="D12" s="203">
        <v>7.7799999999999994E-2</v>
      </c>
      <c r="E12" s="204">
        <v>0.1085</v>
      </c>
      <c r="F12" s="205">
        <v>0.13550000000000001</v>
      </c>
      <c r="G12" s="117"/>
      <c r="H12" s="117"/>
    </row>
    <row r="13" spans="1:8" ht="14.25" x14ac:dyDescent="0.2">
      <c r="A13" s="184" t="s">
        <v>70</v>
      </c>
      <c r="B13" s="185" t="s">
        <v>71</v>
      </c>
      <c r="C13" s="187">
        <f>(1+E13)^(E14/252)-1</f>
        <v>6.0156215333273533E-3</v>
      </c>
      <c r="D13" s="182" t="s">
        <v>171</v>
      </c>
      <c r="E13" s="188">
        <v>6.5000000000000002E-2</v>
      </c>
      <c r="F13" s="183"/>
      <c r="G13" s="117"/>
      <c r="H13" s="117"/>
    </row>
    <row r="14" spans="1:8" ht="14.25" x14ac:dyDescent="0.2">
      <c r="A14" s="184" t="s">
        <v>72</v>
      </c>
      <c r="B14" s="289" t="s">
        <v>73</v>
      </c>
      <c r="C14" s="186">
        <v>0.03</v>
      </c>
      <c r="D14" s="165" t="s">
        <v>172</v>
      </c>
      <c r="E14" s="189">
        <v>24</v>
      </c>
      <c r="F14" s="190"/>
      <c r="G14" s="117"/>
      <c r="H14" s="117"/>
    </row>
    <row r="15" spans="1:8" ht="15" thickBot="1" x14ac:dyDescent="0.25">
      <c r="A15" s="191" t="s">
        <v>74</v>
      </c>
      <c r="B15" s="290"/>
      <c r="C15" s="192">
        <v>3.6499999999999998E-2</v>
      </c>
      <c r="D15" s="165"/>
      <c r="E15" s="193"/>
      <c r="F15" s="190"/>
      <c r="G15" s="117"/>
      <c r="H15" s="117"/>
    </row>
    <row r="16" spans="1:8" ht="14.25" x14ac:dyDescent="0.2">
      <c r="A16" s="194" t="s">
        <v>75</v>
      </c>
      <c r="B16" s="195"/>
      <c r="C16" s="196"/>
      <c r="D16" s="165"/>
      <c r="E16" s="193"/>
      <c r="F16" s="190"/>
      <c r="G16" s="117"/>
      <c r="H16" s="117"/>
    </row>
    <row r="17" spans="1:8" ht="15" thickBot="1" x14ac:dyDescent="0.25">
      <c r="A17" s="197" t="s">
        <v>76</v>
      </c>
      <c r="B17" s="198"/>
      <c r="C17" s="199"/>
      <c r="D17" s="165"/>
      <c r="E17" s="193"/>
      <c r="F17" s="190"/>
      <c r="G17" s="117"/>
      <c r="H17" s="117"/>
    </row>
    <row r="18" spans="1:8" ht="15.75" thickBot="1" x14ac:dyDescent="0.25">
      <c r="A18" s="200" t="s">
        <v>77</v>
      </c>
      <c r="B18" s="201"/>
      <c r="C18" s="202">
        <f>ROUND((((1+C10+C11)*(1+C12)*(1+C13))/(1-(C14+C15))-1),4)</f>
        <v>0.2712</v>
      </c>
      <c r="D18" s="206">
        <v>0.21429999999999999</v>
      </c>
      <c r="E18" s="207">
        <v>0.2717</v>
      </c>
      <c r="F18" s="208">
        <v>0.3362</v>
      </c>
      <c r="G18" s="117"/>
      <c r="H18" s="117"/>
    </row>
    <row r="19" spans="1:8" ht="14.25" x14ac:dyDescent="0.2">
      <c r="A19" s="117"/>
      <c r="B19" s="117"/>
      <c r="C19" s="117"/>
      <c r="D19" s="117"/>
      <c r="E19" s="118"/>
      <c r="F19" s="117"/>
      <c r="G19" s="117"/>
      <c r="H19" s="117"/>
    </row>
    <row r="20" spans="1:8" ht="14.25" x14ac:dyDescent="0.2">
      <c r="A20" s="117"/>
      <c r="B20" s="117"/>
      <c r="C20" s="117"/>
      <c r="D20" s="117"/>
      <c r="E20" s="118"/>
      <c r="F20" s="117"/>
      <c r="G20" s="117"/>
      <c r="H20" s="117"/>
    </row>
    <row r="21" spans="1:8" ht="14.25" x14ac:dyDescent="0.2">
      <c r="A21" s="117"/>
      <c r="B21" s="117"/>
      <c r="C21" s="117"/>
      <c r="D21" s="117"/>
      <c r="E21" s="118"/>
      <c r="F21" s="117"/>
      <c r="G21" s="117"/>
      <c r="H21" s="117"/>
    </row>
    <row r="22" spans="1:8" ht="14.25" x14ac:dyDescent="0.2">
      <c r="A22" s="117"/>
      <c r="B22" s="117"/>
      <c r="C22" s="117"/>
      <c r="D22" s="117"/>
      <c r="E22" s="118"/>
      <c r="F22" s="117"/>
      <c r="G22" s="117"/>
      <c r="H22" s="117"/>
    </row>
  </sheetData>
  <mergeCells count="3">
    <mergeCell ref="B14:B15"/>
    <mergeCell ref="D8:F8"/>
    <mergeCell ref="A6:F6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H10" sqref="H10"/>
    </sheetView>
  </sheetViews>
  <sheetFormatPr defaultRowHeight="19.5" customHeight="1" x14ac:dyDescent="0.2"/>
  <cols>
    <col min="1" max="1" width="24.5703125" style="1" customWidth="1"/>
    <col min="2" max="2" width="18.5703125" style="1" customWidth="1"/>
    <col min="3" max="16384" width="9.140625" style="1"/>
  </cols>
  <sheetData>
    <row r="1" spans="1:2" ht="19.5" customHeight="1" thickBot="1" x14ac:dyDescent="0.25">
      <c r="A1" s="297" t="s">
        <v>207</v>
      </c>
      <c r="B1" s="298"/>
    </row>
    <row r="2" spans="1:2" s="90" customFormat="1" ht="19.5" customHeight="1" x14ac:dyDescent="0.2">
      <c r="A2" s="223" t="s">
        <v>188</v>
      </c>
      <c r="B2" s="224" t="s">
        <v>84</v>
      </c>
    </row>
    <row r="3" spans="1:2" ht="19.5" customHeight="1" x14ac:dyDescent="0.2">
      <c r="A3" s="134">
        <v>1</v>
      </c>
      <c r="B3" s="133">
        <v>33.629999999999995</v>
      </c>
    </row>
    <row r="4" spans="1:2" ht="19.5" customHeight="1" x14ac:dyDescent="0.2">
      <c r="A4" s="134">
        <v>2</v>
      </c>
      <c r="B4" s="133">
        <v>43.13</v>
      </c>
    </row>
    <row r="5" spans="1:2" ht="19.5" customHeight="1" x14ac:dyDescent="0.2">
      <c r="A5" s="134">
        <v>3</v>
      </c>
      <c r="B5" s="133">
        <v>48.68</v>
      </c>
    </row>
    <row r="6" spans="1:2" ht="19.5" customHeight="1" x14ac:dyDescent="0.2">
      <c r="A6" s="134">
        <v>4</v>
      </c>
      <c r="B6" s="133">
        <v>52.62</v>
      </c>
    </row>
    <row r="7" spans="1:2" ht="19.5" customHeight="1" x14ac:dyDescent="0.2">
      <c r="A7" s="134">
        <v>5</v>
      </c>
      <c r="B7" s="133">
        <v>55.679999999999993</v>
      </c>
    </row>
    <row r="8" spans="1:2" ht="19.5" customHeight="1" x14ac:dyDescent="0.2">
      <c r="A8" s="134">
        <v>6</v>
      </c>
      <c r="B8" s="133">
        <v>58.18</v>
      </c>
    </row>
    <row r="9" spans="1:2" ht="19.5" customHeight="1" x14ac:dyDescent="0.2">
      <c r="A9" s="134">
        <v>7</v>
      </c>
      <c r="B9" s="133">
        <v>60.29</v>
      </c>
    </row>
    <row r="10" spans="1:2" ht="19.5" customHeight="1" x14ac:dyDescent="0.2">
      <c r="A10" s="134">
        <v>8</v>
      </c>
      <c r="B10" s="133">
        <v>62.12</v>
      </c>
    </row>
    <row r="11" spans="1:2" ht="19.5" customHeight="1" x14ac:dyDescent="0.2">
      <c r="A11" s="134">
        <v>9</v>
      </c>
      <c r="B11" s="133">
        <v>63.73</v>
      </c>
    </row>
    <row r="12" spans="1:2" ht="19.5" customHeight="1" x14ac:dyDescent="0.2">
      <c r="A12" s="134">
        <v>10</v>
      </c>
      <c r="B12" s="133">
        <v>65.180000000000007</v>
      </c>
    </row>
    <row r="13" spans="1:2" ht="19.5" customHeight="1" x14ac:dyDescent="0.2">
      <c r="A13" s="134">
        <v>11</v>
      </c>
      <c r="B13" s="133">
        <v>66.47999999999999</v>
      </c>
    </row>
    <row r="14" spans="1:2" ht="19.5" customHeight="1" x14ac:dyDescent="0.2">
      <c r="A14" s="134">
        <v>12</v>
      </c>
      <c r="B14" s="133">
        <v>67.67</v>
      </c>
    </row>
    <row r="15" spans="1:2" ht="19.5" customHeight="1" x14ac:dyDescent="0.2">
      <c r="A15" s="134">
        <v>13</v>
      </c>
      <c r="B15" s="133">
        <v>68.77</v>
      </c>
    </row>
    <row r="16" spans="1:2" ht="19.5" customHeight="1" x14ac:dyDescent="0.2">
      <c r="A16" s="134">
        <v>14</v>
      </c>
      <c r="B16" s="133">
        <v>69.789999999999992</v>
      </c>
    </row>
    <row r="17" spans="1:2" ht="19.5" customHeight="1" thickBot="1" x14ac:dyDescent="0.25">
      <c r="A17" s="135">
        <v>15</v>
      </c>
      <c r="B17" s="136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12" t="s">
        <v>211</v>
      </c>
    </row>
    <row r="2" spans="1:1" x14ac:dyDescent="0.2">
      <c r="A2" s="209"/>
    </row>
    <row r="3" spans="1:1" x14ac:dyDescent="0.2">
      <c r="A3" s="209" t="s">
        <v>226</v>
      </c>
    </row>
    <row r="4" spans="1:1" x14ac:dyDescent="0.2">
      <c r="A4" s="209"/>
    </row>
    <row r="5" spans="1:1" x14ac:dyDescent="0.2">
      <c r="A5" s="209"/>
    </row>
    <row r="6" spans="1:1" x14ac:dyDescent="0.2">
      <c r="A6" s="209"/>
    </row>
    <row r="7" spans="1:1" x14ac:dyDescent="0.2">
      <c r="A7" s="209"/>
    </row>
    <row r="8" spans="1:1" x14ac:dyDescent="0.2">
      <c r="A8" s="209"/>
    </row>
    <row r="9" spans="1:1" x14ac:dyDescent="0.2">
      <c r="A9" s="209"/>
    </row>
    <row r="10" spans="1:1" x14ac:dyDescent="0.2">
      <c r="A10" s="209"/>
    </row>
    <row r="11" spans="1:1" x14ac:dyDescent="0.2">
      <c r="A11" s="209"/>
    </row>
    <row r="12" spans="1:1" ht="19.5" x14ac:dyDescent="0.35">
      <c r="A12" s="210" t="s">
        <v>208</v>
      </c>
    </row>
    <row r="13" spans="1:1" ht="15" x14ac:dyDescent="0.2">
      <c r="A13" s="210" t="s">
        <v>88</v>
      </c>
    </row>
    <row r="14" spans="1:1" ht="15" x14ac:dyDescent="0.2">
      <c r="A14" s="210" t="s">
        <v>92</v>
      </c>
    </row>
    <row r="15" spans="1:1" ht="19.5" x14ac:dyDescent="0.35">
      <c r="A15" s="210" t="s">
        <v>209</v>
      </c>
    </row>
    <row r="16" spans="1:1" ht="19.5" x14ac:dyDescent="0.35">
      <c r="A16" s="210" t="s">
        <v>210</v>
      </c>
    </row>
    <row r="17" spans="1:1" ht="15.75" thickBot="1" x14ac:dyDescent="0.25">
      <c r="A17" s="211" t="s">
        <v>89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1. Transporte de RSU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  <vt:lpstr>'2.Encargos Sociais'!Area_de_impressao</vt:lpstr>
      <vt:lpstr>'1. Transporte de RSU'!Titulos_de_impressao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lastPrinted>2020-06-30T13:07:35Z</cp:lastPrinted>
  <dcterms:created xsi:type="dcterms:W3CDTF">2000-12-13T10:02:50Z</dcterms:created>
  <dcterms:modified xsi:type="dcterms:W3CDTF">2020-10-08T13:06:19Z</dcterms:modified>
</cp:coreProperties>
</file>